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Finance Director\Budget Packet\FY24\"/>
    </mc:Choice>
  </mc:AlternateContent>
  <bookViews>
    <workbookView xWindow="0" yWindow="0" windowWidth="28800" windowHeight="11100"/>
  </bookViews>
  <sheets>
    <sheet name="FY24 Proposed Managerial" sheetId="7" r:id="rId1"/>
    <sheet name="FY24 Proposed Managerial print" sheetId="1" r:id="rId2"/>
    <sheet name="Com Center" sheetId="6" state="hidden" r:id="rId3"/>
    <sheet name="ACO" sheetId="5" state="hidden" r:id="rId4"/>
    <sheet name="Police" sheetId="4" state="hidden" r:id="rId5"/>
    <sheet name="FY24 Department Head Budget" sheetId="2" r:id="rId6"/>
    <sheet name="FY24 Depart Head Budget Print" sheetId="8" r:id="rId7"/>
  </sheets>
  <definedNames>
    <definedName name="_xlnm.Print_Area" localSheetId="6">'FY24 Depart Head Budget Print'!$A$1:$R$629</definedName>
    <definedName name="_xlnm.Print_Area" localSheetId="0">'FY24 Proposed Managerial'!$A$1:$K$623</definedName>
    <definedName name="_xlnm.Print_Area" localSheetId="1">'FY24 Proposed Managerial print'!$A$1:$K$640</definedName>
  </definedNames>
  <calcPr calcId="162913"/>
</workbook>
</file>

<file path=xl/calcChain.xml><?xml version="1.0" encoding="utf-8"?>
<calcChain xmlns="http://schemas.openxmlformats.org/spreadsheetml/2006/main">
  <c r="D234" i="7" l="1"/>
  <c r="D269" i="7" l="1"/>
  <c r="D267" i="7"/>
  <c r="D110" i="7"/>
  <c r="D108" i="7"/>
  <c r="D90" i="7"/>
  <c r="D38" i="7"/>
  <c r="D23" i="7"/>
  <c r="D6" i="7"/>
  <c r="D21" i="7"/>
  <c r="D18" i="7"/>
  <c r="D442" i="7" l="1"/>
  <c r="D578" i="7" l="1"/>
  <c r="D570" i="7"/>
  <c r="D475" i="7" l="1"/>
  <c r="N176" i="2" l="1"/>
  <c r="L176" i="2" s="1"/>
  <c r="L181" i="2" s="1"/>
  <c r="N177" i="2"/>
  <c r="L177" i="2" s="1"/>
  <c r="N178" i="2"/>
  <c r="L178" i="2" s="1"/>
  <c r="N179" i="2"/>
  <c r="L179" i="2" s="1"/>
  <c r="J181" i="2"/>
  <c r="N181" i="2"/>
  <c r="P181" i="2"/>
  <c r="J183" i="2"/>
  <c r="N183" i="2" s="1"/>
  <c r="L183" i="2" s="1"/>
  <c r="J184" i="2"/>
  <c r="N184" i="2" s="1"/>
  <c r="L184" i="2" s="1"/>
  <c r="J185" i="2"/>
  <c r="N185" i="2" s="1"/>
  <c r="L185" i="2" s="1"/>
  <c r="J186" i="2"/>
  <c r="N186" i="2"/>
  <c r="L186" i="2" s="1"/>
  <c r="N187" i="2"/>
  <c r="L187" i="2" s="1"/>
  <c r="N188" i="2"/>
  <c r="L188" i="2" s="1"/>
  <c r="N189" i="2"/>
  <c r="L189" i="2" s="1"/>
  <c r="N190" i="2"/>
  <c r="L190" i="2" s="1"/>
  <c r="N191" i="2"/>
  <c r="L191" i="2" s="1"/>
  <c r="N192" i="2"/>
  <c r="L192" i="2" s="1"/>
  <c r="N193" i="2"/>
  <c r="L193" i="2" s="1"/>
  <c r="N194" i="2"/>
  <c r="L194" i="2" s="1"/>
  <c r="N195" i="2"/>
  <c r="L195" i="2" s="1"/>
  <c r="N196" i="2"/>
  <c r="L196" i="2" s="1"/>
  <c r="N197" i="2"/>
  <c r="L197" i="2" s="1"/>
  <c r="N562" i="7" l="1"/>
  <c r="P629" i="8" l="1"/>
  <c r="J627" i="8"/>
  <c r="N627" i="8" s="1"/>
  <c r="L627" i="8" s="1"/>
  <c r="D627" i="8"/>
  <c r="J625" i="8"/>
  <c r="N625" i="8" s="1"/>
  <c r="L625" i="8" s="1"/>
  <c r="D625" i="8"/>
  <c r="H625" i="8" s="1"/>
  <c r="F625" i="8" s="1"/>
  <c r="J624" i="8"/>
  <c r="N624" i="8" s="1"/>
  <c r="L624" i="8" s="1"/>
  <c r="D624" i="8"/>
  <c r="J623" i="8"/>
  <c r="N623" i="8" s="1"/>
  <c r="L623" i="8" s="1"/>
  <c r="D623" i="8"/>
  <c r="H623" i="8" s="1"/>
  <c r="F623" i="8" s="1"/>
  <c r="N622" i="8"/>
  <c r="L622" i="8" s="1"/>
  <c r="H622" i="8"/>
  <c r="F622" i="8" s="1"/>
  <c r="N621" i="8"/>
  <c r="L621" i="8" s="1"/>
  <c r="H621" i="8"/>
  <c r="F621" i="8" s="1"/>
  <c r="N620" i="8"/>
  <c r="L620" i="8" s="1"/>
  <c r="H620" i="8"/>
  <c r="N619" i="8"/>
  <c r="L619" i="8" s="1"/>
  <c r="H619" i="8"/>
  <c r="F619" i="8"/>
  <c r="N618" i="8"/>
  <c r="L618" i="8"/>
  <c r="H618" i="8"/>
  <c r="F618" i="8" s="1"/>
  <c r="N617" i="8"/>
  <c r="L617" i="8"/>
  <c r="D617" i="8"/>
  <c r="H617" i="8" s="1"/>
  <c r="F617" i="8" s="1"/>
  <c r="N616" i="8"/>
  <c r="L616" i="8"/>
  <c r="H616" i="8"/>
  <c r="F616" i="8" s="1"/>
  <c r="N615" i="8"/>
  <c r="L615" i="8" s="1"/>
  <c r="H615" i="8"/>
  <c r="F615" i="8" s="1"/>
  <c r="N614" i="8"/>
  <c r="L614" i="8" s="1"/>
  <c r="H614" i="8"/>
  <c r="F614" i="8"/>
  <c r="N613" i="8"/>
  <c r="L613" i="8"/>
  <c r="H613" i="8"/>
  <c r="F613" i="8" s="1"/>
  <c r="N612" i="8"/>
  <c r="L612" i="8" s="1"/>
  <c r="H612" i="8"/>
  <c r="F612" i="8" s="1"/>
  <c r="N611" i="8"/>
  <c r="L611" i="8" s="1"/>
  <c r="H611" i="8"/>
  <c r="F611" i="8"/>
  <c r="N610" i="8"/>
  <c r="L610" i="8"/>
  <c r="H610" i="8"/>
  <c r="F610" i="8" s="1"/>
  <c r="N609" i="8"/>
  <c r="L609" i="8" s="1"/>
  <c r="H609" i="8"/>
  <c r="F609" i="8" s="1"/>
  <c r="N608" i="8"/>
  <c r="L608" i="8" s="1"/>
  <c r="H608" i="8"/>
  <c r="F608" i="8"/>
  <c r="N607" i="8"/>
  <c r="L607" i="8"/>
  <c r="H607" i="8"/>
  <c r="F607" i="8" s="1"/>
  <c r="N606" i="8"/>
  <c r="L606" i="8" s="1"/>
  <c r="H606" i="8"/>
  <c r="F606" i="8" s="1"/>
  <c r="N605" i="8"/>
  <c r="L605" i="8" s="1"/>
  <c r="H605" i="8"/>
  <c r="F605" i="8"/>
  <c r="N604" i="8"/>
  <c r="L604" i="8"/>
  <c r="H604" i="8"/>
  <c r="F604" i="8" s="1"/>
  <c r="N603" i="8"/>
  <c r="L603" i="8" s="1"/>
  <c r="H603" i="8"/>
  <c r="F603" i="8" s="1"/>
  <c r="N602" i="8"/>
  <c r="L602" i="8" s="1"/>
  <c r="H602" i="8"/>
  <c r="F602" i="8"/>
  <c r="N601" i="8"/>
  <c r="L601" i="8" s="1"/>
  <c r="H601" i="8"/>
  <c r="F601" i="8" s="1"/>
  <c r="N600" i="8"/>
  <c r="L600" i="8" s="1"/>
  <c r="H600" i="8"/>
  <c r="F600" i="8" s="1"/>
  <c r="N599" i="8"/>
  <c r="L599" i="8" s="1"/>
  <c r="H599" i="8"/>
  <c r="F599" i="8"/>
  <c r="N598" i="8"/>
  <c r="L598" i="8" s="1"/>
  <c r="H598" i="8"/>
  <c r="F598" i="8" s="1"/>
  <c r="N597" i="8"/>
  <c r="L597" i="8" s="1"/>
  <c r="H597" i="8"/>
  <c r="F597" i="8" s="1"/>
  <c r="N596" i="8"/>
  <c r="L596" i="8" s="1"/>
  <c r="H596" i="8"/>
  <c r="F596" i="8"/>
  <c r="N595" i="8"/>
  <c r="L595" i="8" s="1"/>
  <c r="H595" i="8"/>
  <c r="F595" i="8" s="1"/>
  <c r="N594" i="8"/>
  <c r="L594" i="8" s="1"/>
  <c r="H594" i="8"/>
  <c r="F594" i="8" s="1"/>
  <c r="N593" i="8"/>
  <c r="L593" i="8" s="1"/>
  <c r="H593" i="8"/>
  <c r="F593" i="8"/>
  <c r="N592" i="8"/>
  <c r="L592" i="8" s="1"/>
  <c r="H592" i="8"/>
  <c r="F592" i="8" s="1"/>
  <c r="N591" i="8"/>
  <c r="L591" i="8" s="1"/>
  <c r="H591" i="8"/>
  <c r="F591" i="8" s="1"/>
  <c r="N590" i="8"/>
  <c r="L590" i="8" s="1"/>
  <c r="H590" i="8"/>
  <c r="F590" i="8"/>
  <c r="N589" i="8"/>
  <c r="L589" i="8" s="1"/>
  <c r="H589" i="8"/>
  <c r="F589" i="8" s="1"/>
  <c r="N588" i="8"/>
  <c r="L588" i="8" s="1"/>
  <c r="H588" i="8"/>
  <c r="F588" i="8" s="1"/>
  <c r="N587" i="8"/>
  <c r="L587" i="8" s="1"/>
  <c r="H587" i="8"/>
  <c r="F587" i="8"/>
  <c r="N586" i="8"/>
  <c r="L586" i="8" s="1"/>
  <c r="H586" i="8"/>
  <c r="F586" i="8" s="1"/>
  <c r="N585" i="8"/>
  <c r="L585" i="8" s="1"/>
  <c r="J585" i="8"/>
  <c r="D585" i="8"/>
  <c r="H585" i="8" s="1"/>
  <c r="F585" i="8" s="1"/>
  <c r="N584" i="8"/>
  <c r="L584" i="8"/>
  <c r="H584" i="8"/>
  <c r="F584" i="8" s="1"/>
  <c r="J583" i="8"/>
  <c r="D583" i="8"/>
  <c r="N582" i="8"/>
  <c r="L582" i="8" s="1"/>
  <c r="J582" i="8"/>
  <c r="H582" i="8"/>
  <c r="F582" i="8" s="1"/>
  <c r="D582" i="8"/>
  <c r="J581" i="8"/>
  <c r="D581" i="8"/>
  <c r="N580" i="8"/>
  <c r="L580" i="8" s="1"/>
  <c r="J580" i="8"/>
  <c r="H580" i="8"/>
  <c r="F580" i="8" s="1"/>
  <c r="D580" i="8"/>
  <c r="J579" i="8"/>
  <c r="N579" i="8" s="1"/>
  <c r="L579" i="8" s="1"/>
  <c r="D579" i="8"/>
  <c r="N578" i="8"/>
  <c r="L578" i="8" s="1"/>
  <c r="H578" i="8"/>
  <c r="F578" i="8"/>
  <c r="J577" i="8"/>
  <c r="N577" i="8" s="1"/>
  <c r="L577" i="8" s="1"/>
  <c r="D577" i="8"/>
  <c r="J576" i="8"/>
  <c r="N576" i="8" s="1"/>
  <c r="L576" i="8" s="1"/>
  <c r="D576" i="8"/>
  <c r="H576" i="8" s="1"/>
  <c r="F576" i="8" s="1"/>
  <c r="J575" i="8"/>
  <c r="J629" i="8" s="1"/>
  <c r="D575" i="8"/>
  <c r="D629" i="8" s="1"/>
  <c r="P569" i="8"/>
  <c r="J569" i="8"/>
  <c r="N566" i="8"/>
  <c r="H566" i="8"/>
  <c r="J565" i="8"/>
  <c r="N565" i="8" s="1"/>
  <c r="L565" i="8" s="1"/>
  <c r="D565" i="8"/>
  <c r="H565" i="8" s="1"/>
  <c r="F565" i="8" s="1"/>
  <c r="N564" i="8"/>
  <c r="J564" i="8"/>
  <c r="H564" i="8" s="1"/>
  <c r="F564" i="8" s="1"/>
  <c r="J563" i="8"/>
  <c r="N563" i="8" s="1"/>
  <c r="L563" i="8" s="1"/>
  <c r="D563" i="8"/>
  <c r="H563" i="8" s="1"/>
  <c r="F563" i="8" s="1"/>
  <c r="J562" i="8"/>
  <c r="N562" i="8" s="1"/>
  <c r="L562" i="8" s="1"/>
  <c r="D562" i="8"/>
  <c r="H562" i="8" s="1"/>
  <c r="F562" i="8" s="1"/>
  <c r="J561" i="8"/>
  <c r="N561" i="8" s="1"/>
  <c r="L561" i="8" s="1"/>
  <c r="D561" i="8"/>
  <c r="H561" i="8" s="1"/>
  <c r="F561" i="8" s="1"/>
  <c r="N560" i="8"/>
  <c r="N569" i="8" s="1"/>
  <c r="J560" i="8"/>
  <c r="H560" i="8"/>
  <c r="F560" i="8" s="1"/>
  <c r="D560" i="8"/>
  <c r="N559" i="8"/>
  <c r="L559" i="8" s="1"/>
  <c r="H559" i="8"/>
  <c r="F559" i="8"/>
  <c r="N558" i="8"/>
  <c r="L558" i="8" s="1"/>
  <c r="H558" i="8"/>
  <c r="F558" i="8"/>
  <c r="N557" i="8"/>
  <c r="L557" i="8"/>
  <c r="J557" i="8"/>
  <c r="D557" i="8"/>
  <c r="H557" i="8" s="1"/>
  <c r="F557" i="8" s="1"/>
  <c r="N556" i="8"/>
  <c r="L556" i="8" s="1"/>
  <c r="H556" i="8"/>
  <c r="P552" i="8"/>
  <c r="J552" i="8"/>
  <c r="D552" i="8"/>
  <c r="N550" i="8"/>
  <c r="L550" i="8"/>
  <c r="H550" i="8"/>
  <c r="F550" i="8" s="1"/>
  <c r="N549" i="8"/>
  <c r="H549" i="8"/>
  <c r="F549" i="8" s="1"/>
  <c r="P544" i="8"/>
  <c r="N542" i="8"/>
  <c r="L542" i="8" s="1"/>
  <c r="H542" i="8"/>
  <c r="F542" i="8" s="1"/>
  <c r="N541" i="8"/>
  <c r="L541" i="8" s="1"/>
  <c r="H541" i="8"/>
  <c r="F541" i="8" s="1"/>
  <c r="N540" i="8"/>
  <c r="L540" i="8" s="1"/>
  <c r="H540" i="8"/>
  <c r="F540" i="8" s="1"/>
  <c r="N539" i="8"/>
  <c r="L539" i="8" s="1"/>
  <c r="H539" i="8"/>
  <c r="F539" i="8" s="1"/>
  <c r="N538" i="8"/>
  <c r="L538" i="8" s="1"/>
  <c r="H538" i="8"/>
  <c r="F538" i="8" s="1"/>
  <c r="N537" i="8"/>
  <c r="L537" i="8" s="1"/>
  <c r="H537" i="8"/>
  <c r="F537" i="8" s="1"/>
  <c r="N536" i="8"/>
  <c r="L536" i="8" s="1"/>
  <c r="H536" i="8"/>
  <c r="F536" i="8" s="1"/>
  <c r="N535" i="8"/>
  <c r="L535" i="8" s="1"/>
  <c r="H535" i="8"/>
  <c r="F535" i="8" s="1"/>
  <c r="N534" i="8"/>
  <c r="L534" i="8" s="1"/>
  <c r="H534" i="8"/>
  <c r="F534" i="8" s="1"/>
  <c r="J533" i="8"/>
  <c r="N533" i="8" s="1"/>
  <c r="L533" i="8" s="1"/>
  <c r="D533" i="8"/>
  <c r="H533" i="8" s="1"/>
  <c r="F533" i="8" s="1"/>
  <c r="N532" i="8"/>
  <c r="L532" i="8" s="1"/>
  <c r="J532" i="8"/>
  <c r="D532" i="8"/>
  <c r="H532" i="8" s="1"/>
  <c r="F532" i="8" s="1"/>
  <c r="J531" i="8"/>
  <c r="N531" i="8" s="1"/>
  <c r="L531" i="8" s="1"/>
  <c r="D531" i="8"/>
  <c r="H531" i="8" s="1"/>
  <c r="F531" i="8" s="1"/>
  <c r="N530" i="8"/>
  <c r="L530" i="8" s="1"/>
  <c r="J530" i="8"/>
  <c r="D530" i="8"/>
  <c r="H530" i="8" s="1"/>
  <c r="F530" i="8" s="1"/>
  <c r="J529" i="8"/>
  <c r="N529" i="8" s="1"/>
  <c r="L529" i="8" s="1"/>
  <c r="D529" i="8"/>
  <c r="H529" i="8" s="1"/>
  <c r="F529" i="8" s="1"/>
  <c r="N528" i="8"/>
  <c r="L528" i="8" s="1"/>
  <c r="J528" i="8"/>
  <c r="J544" i="8" s="1"/>
  <c r="D528" i="8"/>
  <c r="H528" i="8" s="1"/>
  <c r="P526" i="8"/>
  <c r="J526" i="8"/>
  <c r="D526" i="8"/>
  <c r="N524" i="8"/>
  <c r="H524" i="8"/>
  <c r="F524" i="8" s="1"/>
  <c r="N523" i="8"/>
  <c r="L523" i="8"/>
  <c r="H523" i="8"/>
  <c r="F523" i="8" s="1"/>
  <c r="N522" i="8"/>
  <c r="L522" i="8" s="1"/>
  <c r="H522" i="8"/>
  <c r="F522" i="8" s="1"/>
  <c r="N521" i="8"/>
  <c r="L521" i="8" s="1"/>
  <c r="H521" i="8"/>
  <c r="F521" i="8" s="1"/>
  <c r="N520" i="8"/>
  <c r="L520" i="8"/>
  <c r="H520" i="8"/>
  <c r="F520" i="8" s="1"/>
  <c r="N519" i="8"/>
  <c r="N526" i="8" s="1"/>
  <c r="L526" i="8" s="1"/>
  <c r="H519" i="8"/>
  <c r="H526" i="8" s="1"/>
  <c r="F526" i="8" s="1"/>
  <c r="P517" i="8"/>
  <c r="N515" i="8"/>
  <c r="H515" i="8"/>
  <c r="N514" i="8"/>
  <c r="L514" i="8"/>
  <c r="H514" i="8"/>
  <c r="F514" i="8"/>
  <c r="D514" i="8"/>
  <c r="N513" i="8"/>
  <c r="L513" i="8" s="1"/>
  <c r="H513" i="8"/>
  <c r="F513" i="8" s="1"/>
  <c r="N512" i="8"/>
  <c r="L512" i="8" s="1"/>
  <c r="H512" i="8"/>
  <c r="F512" i="8" s="1"/>
  <c r="N511" i="8"/>
  <c r="L511" i="8" s="1"/>
  <c r="H511" i="8"/>
  <c r="F511" i="8" s="1"/>
  <c r="N510" i="8"/>
  <c r="L510" i="8" s="1"/>
  <c r="H510" i="8"/>
  <c r="F510" i="8" s="1"/>
  <c r="J509" i="8"/>
  <c r="N509" i="8" s="1"/>
  <c r="L509" i="8" s="1"/>
  <c r="N508" i="8"/>
  <c r="L508" i="8"/>
  <c r="H508" i="8"/>
  <c r="F508" i="8"/>
  <c r="N506" i="8"/>
  <c r="L506" i="8" s="1"/>
  <c r="H506" i="8"/>
  <c r="F506" i="8" s="1"/>
  <c r="N505" i="8"/>
  <c r="L505" i="8" s="1"/>
  <c r="H505" i="8"/>
  <c r="F505" i="8"/>
  <c r="N504" i="8"/>
  <c r="L504" i="8"/>
  <c r="H504" i="8"/>
  <c r="F504" i="8" s="1"/>
  <c r="N503" i="8"/>
  <c r="L503" i="8" s="1"/>
  <c r="H503" i="8"/>
  <c r="F503" i="8" s="1"/>
  <c r="N502" i="8"/>
  <c r="L502" i="8" s="1"/>
  <c r="H502" i="8"/>
  <c r="F502" i="8" s="1"/>
  <c r="N501" i="8"/>
  <c r="L501" i="8"/>
  <c r="H501" i="8"/>
  <c r="F501" i="8" s="1"/>
  <c r="N500" i="8"/>
  <c r="H500" i="8"/>
  <c r="F500" i="8" s="1"/>
  <c r="N499" i="8"/>
  <c r="L499" i="8" s="1"/>
  <c r="H499" i="8"/>
  <c r="F499" i="8" s="1"/>
  <c r="N498" i="8"/>
  <c r="L498" i="8" s="1"/>
  <c r="H498" i="8"/>
  <c r="F498" i="8" s="1"/>
  <c r="N497" i="8"/>
  <c r="L497" i="8" s="1"/>
  <c r="H497" i="8"/>
  <c r="F497" i="8" s="1"/>
  <c r="N496" i="8"/>
  <c r="L496" i="8" s="1"/>
  <c r="H496" i="8"/>
  <c r="F496" i="8" s="1"/>
  <c r="N495" i="8"/>
  <c r="L495" i="8" s="1"/>
  <c r="H495" i="8"/>
  <c r="F495" i="8" s="1"/>
  <c r="N494" i="8"/>
  <c r="L494" i="8" s="1"/>
  <c r="D494" i="8"/>
  <c r="H494" i="8" s="1"/>
  <c r="F494" i="8" s="1"/>
  <c r="N493" i="8"/>
  <c r="L493" i="8" s="1"/>
  <c r="H493" i="8"/>
  <c r="F493" i="8" s="1"/>
  <c r="N492" i="8"/>
  <c r="L492" i="8"/>
  <c r="H492" i="8"/>
  <c r="F492" i="8"/>
  <c r="N491" i="8"/>
  <c r="L491" i="8" s="1"/>
  <c r="H491" i="8"/>
  <c r="F491" i="8" s="1"/>
  <c r="N490" i="8"/>
  <c r="L490" i="8" s="1"/>
  <c r="H490" i="8"/>
  <c r="F490" i="8" s="1"/>
  <c r="N489" i="8"/>
  <c r="L489" i="8"/>
  <c r="H489" i="8"/>
  <c r="F489" i="8"/>
  <c r="N488" i="8"/>
  <c r="L488" i="8" s="1"/>
  <c r="H488" i="8"/>
  <c r="F488" i="8" s="1"/>
  <c r="N487" i="8"/>
  <c r="L487" i="8" s="1"/>
  <c r="H487" i="8"/>
  <c r="F487" i="8" s="1"/>
  <c r="N486" i="8"/>
  <c r="L486" i="8"/>
  <c r="H486" i="8"/>
  <c r="F486" i="8" s="1"/>
  <c r="N485" i="8"/>
  <c r="L485" i="8" s="1"/>
  <c r="H485" i="8"/>
  <c r="F485" i="8" s="1"/>
  <c r="J484" i="8"/>
  <c r="N484" i="8" s="1"/>
  <c r="L484" i="8" s="1"/>
  <c r="D484" i="8"/>
  <c r="H484" i="8" s="1"/>
  <c r="F484" i="8" s="1"/>
  <c r="J483" i="8"/>
  <c r="N483" i="8" s="1"/>
  <c r="L483" i="8" s="1"/>
  <c r="D483" i="8"/>
  <c r="H483" i="8" s="1"/>
  <c r="F483" i="8" s="1"/>
  <c r="J482" i="8"/>
  <c r="N482" i="8" s="1"/>
  <c r="L482" i="8" s="1"/>
  <c r="D482" i="8"/>
  <c r="H482" i="8" s="1"/>
  <c r="F482" i="8" s="1"/>
  <c r="J481" i="8"/>
  <c r="N481" i="8" s="1"/>
  <c r="L481" i="8" s="1"/>
  <c r="D481" i="8"/>
  <c r="H481" i="8" s="1"/>
  <c r="F481" i="8" s="1"/>
  <c r="N480" i="8"/>
  <c r="L480" i="8" s="1"/>
  <c r="H480" i="8"/>
  <c r="F480" i="8" s="1"/>
  <c r="D480" i="8"/>
  <c r="N479" i="8"/>
  <c r="L479" i="8" s="1"/>
  <c r="H479" i="8"/>
  <c r="F479" i="8" s="1"/>
  <c r="J478" i="8"/>
  <c r="N478" i="8" s="1"/>
  <c r="L478" i="8" s="1"/>
  <c r="D478" i="8"/>
  <c r="H478" i="8" s="1"/>
  <c r="F478" i="8" s="1"/>
  <c r="J477" i="8"/>
  <c r="N477" i="8" s="1"/>
  <c r="L477" i="8" s="1"/>
  <c r="D477" i="8"/>
  <c r="J476" i="8"/>
  <c r="D476" i="8"/>
  <c r="P474" i="8"/>
  <c r="N472" i="8"/>
  <c r="L472" i="8" s="1"/>
  <c r="H472" i="8"/>
  <c r="F472" i="8" s="1"/>
  <c r="N471" i="8"/>
  <c r="L471" i="8" s="1"/>
  <c r="H471" i="8"/>
  <c r="F471" i="8"/>
  <c r="N470" i="8"/>
  <c r="L470" i="8" s="1"/>
  <c r="H470" i="8"/>
  <c r="F470" i="8" s="1"/>
  <c r="N469" i="8"/>
  <c r="L469" i="8" s="1"/>
  <c r="H469" i="8"/>
  <c r="F469" i="8" s="1"/>
  <c r="N468" i="8"/>
  <c r="L468" i="8" s="1"/>
  <c r="H468" i="8"/>
  <c r="F468" i="8"/>
  <c r="N467" i="8"/>
  <c r="L467" i="8" s="1"/>
  <c r="H467" i="8"/>
  <c r="F467" i="8" s="1"/>
  <c r="N466" i="8"/>
  <c r="L466" i="8" s="1"/>
  <c r="H466" i="8"/>
  <c r="F466" i="8" s="1"/>
  <c r="N465" i="8"/>
  <c r="L465" i="8" s="1"/>
  <c r="H465" i="8"/>
  <c r="F465" i="8"/>
  <c r="N464" i="8"/>
  <c r="L464" i="8" s="1"/>
  <c r="H464" i="8"/>
  <c r="F464" i="8" s="1"/>
  <c r="N463" i="8"/>
  <c r="L463" i="8" s="1"/>
  <c r="H463" i="8"/>
  <c r="F463" i="8" s="1"/>
  <c r="N462" i="8"/>
  <c r="L462" i="8" s="1"/>
  <c r="F462" i="8"/>
  <c r="D462" i="8"/>
  <c r="H462" i="8" s="1"/>
  <c r="N461" i="8"/>
  <c r="L461" i="8"/>
  <c r="D461" i="8"/>
  <c r="H461" i="8" s="1"/>
  <c r="F461" i="8" s="1"/>
  <c r="J460" i="8"/>
  <c r="N460" i="8" s="1"/>
  <c r="L460" i="8" s="1"/>
  <c r="D460" i="8"/>
  <c r="H460" i="8" s="1"/>
  <c r="F460" i="8" s="1"/>
  <c r="J459" i="8"/>
  <c r="N459" i="8" s="1"/>
  <c r="L459" i="8" s="1"/>
  <c r="D459" i="8"/>
  <c r="H459" i="8" s="1"/>
  <c r="F459" i="8" s="1"/>
  <c r="J458" i="8"/>
  <c r="N458" i="8" s="1"/>
  <c r="L458" i="8" s="1"/>
  <c r="D458" i="8"/>
  <c r="H458" i="8" s="1"/>
  <c r="F458" i="8" s="1"/>
  <c r="J457" i="8"/>
  <c r="N457" i="8" s="1"/>
  <c r="L457" i="8" s="1"/>
  <c r="D457" i="8"/>
  <c r="H457" i="8" s="1"/>
  <c r="F457" i="8" s="1"/>
  <c r="J456" i="8"/>
  <c r="N456" i="8" s="1"/>
  <c r="L456" i="8" s="1"/>
  <c r="D456" i="8"/>
  <c r="H456" i="8" s="1"/>
  <c r="F456" i="8" s="1"/>
  <c r="N455" i="8"/>
  <c r="L455" i="8" s="1"/>
  <c r="H455" i="8"/>
  <c r="F455" i="8" s="1"/>
  <c r="D455" i="8"/>
  <c r="J454" i="8"/>
  <c r="J474" i="8" s="1"/>
  <c r="H454" i="8"/>
  <c r="D454" i="8"/>
  <c r="P452" i="8"/>
  <c r="J452" i="8"/>
  <c r="D452" i="8"/>
  <c r="N449" i="8"/>
  <c r="L449" i="8" s="1"/>
  <c r="H449" i="8"/>
  <c r="F449" i="8" s="1"/>
  <c r="N448" i="8"/>
  <c r="L448" i="8"/>
  <c r="H448" i="8"/>
  <c r="F448" i="8" s="1"/>
  <c r="N447" i="8"/>
  <c r="N452" i="8" s="1"/>
  <c r="H447" i="8"/>
  <c r="H452" i="8" s="1"/>
  <c r="F452" i="8" s="1"/>
  <c r="P445" i="8"/>
  <c r="N443" i="8"/>
  <c r="L443" i="8" s="1"/>
  <c r="H443" i="8"/>
  <c r="F443" i="8" s="1"/>
  <c r="N442" i="8"/>
  <c r="L442" i="8"/>
  <c r="H442" i="8"/>
  <c r="F442" i="8" s="1"/>
  <c r="N441" i="8"/>
  <c r="L441" i="8" s="1"/>
  <c r="H441" i="8"/>
  <c r="F441" i="8" s="1"/>
  <c r="N440" i="8"/>
  <c r="L440" i="8" s="1"/>
  <c r="H440" i="8"/>
  <c r="F440" i="8" s="1"/>
  <c r="N439" i="8"/>
  <c r="L439" i="8"/>
  <c r="H439" i="8"/>
  <c r="F439" i="8" s="1"/>
  <c r="N438" i="8"/>
  <c r="L438" i="8" s="1"/>
  <c r="H438" i="8"/>
  <c r="F438" i="8" s="1"/>
  <c r="N437" i="8"/>
  <c r="L437" i="8" s="1"/>
  <c r="H437" i="8"/>
  <c r="F437" i="8" s="1"/>
  <c r="N436" i="8"/>
  <c r="L436" i="8"/>
  <c r="H436" i="8"/>
  <c r="F436" i="8" s="1"/>
  <c r="N435" i="8"/>
  <c r="L435" i="8" s="1"/>
  <c r="H435" i="8"/>
  <c r="F435" i="8" s="1"/>
  <c r="N434" i="8"/>
  <c r="L434" i="8" s="1"/>
  <c r="H434" i="8"/>
  <c r="F434" i="8" s="1"/>
  <c r="N433" i="8"/>
  <c r="L433" i="8"/>
  <c r="H433" i="8"/>
  <c r="F433" i="8" s="1"/>
  <c r="N432" i="8"/>
  <c r="L432" i="8" s="1"/>
  <c r="H432" i="8"/>
  <c r="F432" i="8" s="1"/>
  <c r="N431" i="8"/>
  <c r="L431" i="8" s="1"/>
  <c r="H431" i="8"/>
  <c r="F431" i="8" s="1"/>
  <c r="N430" i="8"/>
  <c r="L430" i="8"/>
  <c r="H430" i="8"/>
  <c r="F430" i="8" s="1"/>
  <c r="N429" i="8"/>
  <c r="L429" i="8" s="1"/>
  <c r="H429" i="8"/>
  <c r="F429" i="8" s="1"/>
  <c r="N428" i="8"/>
  <c r="L428" i="8" s="1"/>
  <c r="H428" i="8"/>
  <c r="F428" i="8" s="1"/>
  <c r="N427" i="8"/>
  <c r="L427" i="8"/>
  <c r="H427" i="8"/>
  <c r="F427" i="8" s="1"/>
  <c r="N426" i="8"/>
  <c r="L426" i="8" s="1"/>
  <c r="H426" i="8"/>
  <c r="F426" i="8" s="1"/>
  <c r="N425" i="8"/>
  <c r="L425" i="8" s="1"/>
  <c r="H425" i="8"/>
  <c r="F425" i="8" s="1"/>
  <c r="N424" i="8"/>
  <c r="L424" i="8"/>
  <c r="H424" i="8"/>
  <c r="F424" i="8" s="1"/>
  <c r="N423" i="8"/>
  <c r="L423" i="8" s="1"/>
  <c r="H423" i="8"/>
  <c r="F423" i="8" s="1"/>
  <c r="N422" i="8"/>
  <c r="L422" i="8" s="1"/>
  <c r="H422" i="8"/>
  <c r="F422" i="8" s="1"/>
  <c r="J421" i="8"/>
  <c r="N421" i="8" s="1"/>
  <c r="L421" i="8" s="1"/>
  <c r="D421" i="8"/>
  <c r="H421" i="8" s="1"/>
  <c r="F421" i="8" s="1"/>
  <c r="N420" i="8"/>
  <c r="L420" i="8" s="1"/>
  <c r="J420" i="8"/>
  <c r="D420" i="8"/>
  <c r="H420" i="8" s="1"/>
  <c r="F420" i="8" s="1"/>
  <c r="J419" i="8"/>
  <c r="N419" i="8" s="1"/>
  <c r="L419" i="8" s="1"/>
  <c r="D419" i="8"/>
  <c r="H419" i="8" s="1"/>
  <c r="F419" i="8" s="1"/>
  <c r="N418" i="8"/>
  <c r="L418" i="8" s="1"/>
  <c r="J418" i="8"/>
  <c r="D418" i="8"/>
  <c r="H418" i="8" s="1"/>
  <c r="F418" i="8" s="1"/>
  <c r="J417" i="8"/>
  <c r="N417" i="8" s="1"/>
  <c r="L417" i="8" s="1"/>
  <c r="D417" i="8"/>
  <c r="H417" i="8" s="1"/>
  <c r="F417" i="8" s="1"/>
  <c r="N416" i="8"/>
  <c r="H416" i="8"/>
  <c r="N415" i="8"/>
  <c r="L415" i="8" s="1"/>
  <c r="H415" i="8"/>
  <c r="F415" i="8"/>
  <c r="J414" i="8"/>
  <c r="N414" i="8" s="1"/>
  <c r="D414" i="8"/>
  <c r="D445" i="8" s="1"/>
  <c r="P412" i="8"/>
  <c r="N410" i="8"/>
  <c r="L410" i="8"/>
  <c r="H410" i="8"/>
  <c r="F410" i="8" s="1"/>
  <c r="N409" i="8"/>
  <c r="L409" i="8"/>
  <c r="H409" i="8"/>
  <c r="F409" i="8"/>
  <c r="N408" i="8"/>
  <c r="L408" i="8" s="1"/>
  <c r="H408" i="8"/>
  <c r="F408" i="8" s="1"/>
  <c r="N407" i="8"/>
  <c r="L407" i="8"/>
  <c r="D407" i="8"/>
  <c r="H407" i="8" s="1"/>
  <c r="F407" i="8" s="1"/>
  <c r="N406" i="8"/>
  <c r="L406" i="8" s="1"/>
  <c r="J406" i="8"/>
  <c r="D406" i="8"/>
  <c r="H406" i="8" s="1"/>
  <c r="F406" i="8" s="1"/>
  <c r="J405" i="8"/>
  <c r="J412" i="8" s="1"/>
  <c r="D405" i="8"/>
  <c r="D412" i="8" s="1"/>
  <c r="N404" i="8"/>
  <c r="H404" i="8"/>
  <c r="F404" i="8" s="1"/>
  <c r="P402" i="8"/>
  <c r="N400" i="8"/>
  <c r="L400" i="8"/>
  <c r="H400" i="8"/>
  <c r="F400" i="8"/>
  <c r="N399" i="8"/>
  <c r="L399" i="8"/>
  <c r="D399" i="8"/>
  <c r="H399" i="8" s="1"/>
  <c r="F399" i="8" s="1"/>
  <c r="N398" i="8"/>
  <c r="L398" i="8" s="1"/>
  <c r="H398" i="8"/>
  <c r="F398" i="8" s="1"/>
  <c r="N397" i="8"/>
  <c r="L397" i="8" s="1"/>
  <c r="H397" i="8"/>
  <c r="F397" i="8" s="1"/>
  <c r="N396" i="8"/>
  <c r="L396" i="8" s="1"/>
  <c r="H396" i="8"/>
  <c r="F396" i="8" s="1"/>
  <c r="N395" i="8"/>
  <c r="L395" i="8" s="1"/>
  <c r="H395" i="8"/>
  <c r="F395" i="8" s="1"/>
  <c r="N393" i="8"/>
  <c r="L393" i="8" s="1"/>
  <c r="H393" i="8"/>
  <c r="F393" i="8" s="1"/>
  <c r="N392" i="8"/>
  <c r="L392" i="8" s="1"/>
  <c r="H392" i="8"/>
  <c r="F392" i="8" s="1"/>
  <c r="N391" i="8"/>
  <c r="L391" i="8" s="1"/>
  <c r="H391" i="8"/>
  <c r="F391" i="8" s="1"/>
  <c r="N390" i="8"/>
  <c r="L390" i="8" s="1"/>
  <c r="H390" i="8"/>
  <c r="F390" i="8" s="1"/>
  <c r="N389" i="8"/>
  <c r="L389" i="8" s="1"/>
  <c r="H389" i="8"/>
  <c r="F389" i="8" s="1"/>
  <c r="N388" i="8"/>
  <c r="L388" i="8" s="1"/>
  <c r="H388" i="8"/>
  <c r="F388" i="8" s="1"/>
  <c r="N387" i="8"/>
  <c r="L387" i="8" s="1"/>
  <c r="H387" i="8"/>
  <c r="F387" i="8" s="1"/>
  <c r="N386" i="8"/>
  <c r="L386" i="8" s="1"/>
  <c r="H386" i="8"/>
  <c r="F386" i="8" s="1"/>
  <c r="N385" i="8"/>
  <c r="L385" i="8" s="1"/>
  <c r="H385" i="8"/>
  <c r="F385" i="8" s="1"/>
  <c r="N384" i="8"/>
  <c r="L384" i="8" s="1"/>
  <c r="H384" i="8"/>
  <c r="F384" i="8" s="1"/>
  <c r="N383" i="8"/>
  <c r="L383" i="8" s="1"/>
  <c r="H383" i="8"/>
  <c r="F383" i="8" s="1"/>
  <c r="N382" i="8"/>
  <c r="L382" i="8" s="1"/>
  <c r="H382" i="8"/>
  <c r="F382" i="8" s="1"/>
  <c r="N381" i="8"/>
  <c r="L381" i="8" s="1"/>
  <c r="H381" i="8"/>
  <c r="F381" i="8" s="1"/>
  <c r="N380" i="8"/>
  <c r="L380" i="8" s="1"/>
  <c r="H380" i="8"/>
  <c r="F380" i="8" s="1"/>
  <c r="N379" i="8"/>
  <c r="L379" i="8" s="1"/>
  <c r="H379" i="8"/>
  <c r="F379" i="8" s="1"/>
  <c r="N378" i="8"/>
  <c r="L378" i="8" s="1"/>
  <c r="H378" i="8"/>
  <c r="F378" i="8" s="1"/>
  <c r="N377" i="8"/>
  <c r="L377" i="8" s="1"/>
  <c r="H377" i="8"/>
  <c r="F377" i="8" s="1"/>
  <c r="N376" i="8"/>
  <c r="L376" i="8" s="1"/>
  <c r="H376" i="8"/>
  <c r="F376" i="8" s="1"/>
  <c r="N375" i="8"/>
  <c r="L375" i="8" s="1"/>
  <c r="H375" i="8"/>
  <c r="F375" i="8" s="1"/>
  <c r="N374" i="8"/>
  <c r="L374" i="8" s="1"/>
  <c r="H374" i="8"/>
  <c r="F374" i="8" s="1"/>
  <c r="N373" i="8"/>
  <c r="L373" i="8" s="1"/>
  <c r="H373" i="8"/>
  <c r="F373" i="8" s="1"/>
  <c r="N372" i="8"/>
  <c r="L372" i="8" s="1"/>
  <c r="H372" i="8"/>
  <c r="F372" i="8" s="1"/>
  <c r="N371" i="8"/>
  <c r="L371" i="8" s="1"/>
  <c r="H371" i="8"/>
  <c r="F371" i="8" s="1"/>
  <c r="N370" i="8"/>
  <c r="L370" i="8" s="1"/>
  <c r="H370" i="8"/>
  <c r="F370" i="8" s="1"/>
  <c r="N369" i="8"/>
  <c r="L369" i="8" s="1"/>
  <c r="H369" i="8"/>
  <c r="F369" i="8" s="1"/>
  <c r="N368" i="8"/>
  <c r="L368" i="8" s="1"/>
  <c r="H368" i="8"/>
  <c r="F368" i="8" s="1"/>
  <c r="N367" i="8"/>
  <c r="L367" i="8" s="1"/>
  <c r="H367" i="8"/>
  <c r="F367" i="8" s="1"/>
  <c r="N366" i="8"/>
  <c r="L366" i="8" s="1"/>
  <c r="H366" i="8"/>
  <c r="F366" i="8" s="1"/>
  <c r="N365" i="8"/>
  <c r="L365" i="8" s="1"/>
  <c r="H365" i="8"/>
  <c r="F365" i="8" s="1"/>
  <c r="N364" i="8"/>
  <c r="L364" i="8" s="1"/>
  <c r="H364" i="8"/>
  <c r="F364" i="8" s="1"/>
  <c r="N363" i="8"/>
  <c r="L363" i="8" s="1"/>
  <c r="H363" i="8"/>
  <c r="F363" i="8" s="1"/>
  <c r="N362" i="8"/>
  <c r="L362" i="8" s="1"/>
  <c r="H362" i="8"/>
  <c r="F362" i="8" s="1"/>
  <c r="J361" i="8"/>
  <c r="N361" i="8" s="1"/>
  <c r="L361" i="8" s="1"/>
  <c r="F361" i="8"/>
  <c r="D361" i="8"/>
  <c r="H361" i="8" s="1"/>
  <c r="J360" i="8"/>
  <c r="N360" i="8" s="1"/>
  <c r="L360" i="8" s="1"/>
  <c r="D360" i="8"/>
  <c r="H360" i="8" s="1"/>
  <c r="F360" i="8" s="1"/>
  <c r="J359" i="8"/>
  <c r="N359" i="8" s="1"/>
  <c r="L359" i="8" s="1"/>
  <c r="D359" i="8"/>
  <c r="H359" i="8" s="1"/>
  <c r="F359" i="8" s="1"/>
  <c r="J358" i="8"/>
  <c r="N358" i="8" s="1"/>
  <c r="L358" i="8" s="1"/>
  <c r="D358" i="8"/>
  <c r="H358" i="8" s="1"/>
  <c r="F358" i="8" s="1"/>
  <c r="J357" i="8"/>
  <c r="N357" i="8" s="1"/>
  <c r="L357" i="8" s="1"/>
  <c r="F357" i="8"/>
  <c r="D357" i="8"/>
  <c r="H357" i="8" s="1"/>
  <c r="N356" i="8"/>
  <c r="L356" i="8" s="1"/>
  <c r="H356" i="8"/>
  <c r="F356" i="8" s="1"/>
  <c r="N355" i="8"/>
  <c r="L355" i="8"/>
  <c r="H355" i="8"/>
  <c r="F355" i="8" s="1"/>
  <c r="J354" i="8"/>
  <c r="D354" i="8"/>
  <c r="N353" i="8"/>
  <c r="L353" i="8" s="1"/>
  <c r="J353" i="8"/>
  <c r="H353" i="8" s="1"/>
  <c r="F353" i="8" s="1"/>
  <c r="D353" i="8"/>
  <c r="J352" i="8"/>
  <c r="D352" i="8"/>
  <c r="N351" i="8"/>
  <c r="H351" i="8"/>
  <c r="F351" i="8" s="1"/>
  <c r="P349" i="8"/>
  <c r="N347" i="8"/>
  <c r="L347" i="8" s="1"/>
  <c r="H347" i="8"/>
  <c r="F347" i="8" s="1"/>
  <c r="N346" i="8"/>
  <c r="L346" i="8"/>
  <c r="H346" i="8"/>
  <c r="F346" i="8" s="1"/>
  <c r="N345" i="8"/>
  <c r="L345" i="8"/>
  <c r="H345" i="8"/>
  <c r="F345" i="8" s="1"/>
  <c r="N344" i="8"/>
  <c r="L344" i="8" s="1"/>
  <c r="H344" i="8"/>
  <c r="F344" i="8" s="1"/>
  <c r="N343" i="8"/>
  <c r="L343" i="8"/>
  <c r="H343" i="8"/>
  <c r="F343" i="8" s="1"/>
  <c r="N342" i="8"/>
  <c r="L342" i="8"/>
  <c r="H342" i="8"/>
  <c r="F342" i="8" s="1"/>
  <c r="N341" i="8"/>
  <c r="L341" i="8" s="1"/>
  <c r="H341" i="8"/>
  <c r="F341" i="8" s="1"/>
  <c r="J340" i="8"/>
  <c r="N340" i="8" s="1"/>
  <c r="L340" i="8" s="1"/>
  <c r="D340" i="8"/>
  <c r="H340" i="8" s="1"/>
  <c r="F340" i="8" s="1"/>
  <c r="J339" i="8"/>
  <c r="N339" i="8" s="1"/>
  <c r="L339" i="8" s="1"/>
  <c r="D339" i="8"/>
  <c r="H339" i="8" s="1"/>
  <c r="F339" i="8" s="1"/>
  <c r="J338" i="8"/>
  <c r="N338" i="8" s="1"/>
  <c r="L338" i="8" s="1"/>
  <c r="D338" i="8"/>
  <c r="H338" i="8" s="1"/>
  <c r="F338" i="8" s="1"/>
  <c r="J336" i="8"/>
  <c r="N336" i="8" s="1"/>
  <c r="L336" i="8" s="1"/>
  <c r="D336" i="8"/>
  <c r="H336" i="8" s="1"/>
  <c r="F336" i="8" s="1"/>
  <c r="J335" i="8"/>
  <c r="N335" i="8" s="1"/>
  <c r="L335" i="8" s="1"/>
  <c r="D335" i="8"/>
  <c r="H335" i="8" s="1"/>
  <c r="F335" i="8" s="1"/>
  <c r="N334" i="8"/>
  <c r="L334" i="8" s="1"/>
  <c r="H334" i="8"/>
  <c r="F334" i="8" s="1"/>
  <c r="N333" i="8"/>
  <c r="L333" i="8"/>
  <c r="H333" i="8"/>
  <c r="F333" i="8" s="1"/>
  <c r="N332" i="8"/>
  <c r="L332" i="8" s="1"/>
  <c r="H332" i="8"/>
  <c r="F332" i="8"/>
  <c r="N331" i="8"/>
  <c r="L331" i="8" s="1"/>
  <c r="H331" i="8"/>
  <c r="F331" i="8" s="1"/>
  <c r="J330" i="8"/>
  <c r="N330" i="8" s="1"/>
  <c r="D330" i="8"/>
  <c r="D349" i="8" s="1"/>
  <c r="P328" i="8"/>
  <c r="N326" i="8"/>
  <c r="H326" i="8"/>
  <c r="F326" i="8" s="1"/>
  <c r="N325" i="8"/>
  <c r="L325" i="8" s="1"/>
  <c r="H325" i="8"/>
  <c r="F325" i="8"/>
  <c r="D325" i="8"/>
  <c r="N324" i="8"/>
  <c r="L324" i="8" s="1"/>
  <c r="H324" i="8"/>
  <c r="F324" i="8" s="1"/>
  <c r="N323" i="8"/>
  <c r="L323" i="8" s="1"/>
  <c r="H323" i="8"/>
  <c r="F323" i="8" s="1"/>
  <c r="N322" i="8"/>
  <c r="L322" i="8"/>
  <c r="H322" i="8"/>
  <c r="F322" i="8" s="1"/>
  <c r="N321" i="8"/>
  <c r="L321" i="8" s="1"/>
  <c r="H321" i="8"/>
  <c r="F321" i="8" s="1"/>
  <c r="N320" i="8"/>
  <c r="L320" i="8" s="1"/>
  <c r="H320" i="8"/>
  <c r="F320" i="8" s="1"/>
  <c r="N319" i="8"/>
  <c r="L319" i="8"/>
  <c r="H319" i="8"/>
  <c r="F319" i="8" s="1"/>
  <c r="N318" i="8"/>
  <c r="L318" i="8" s="1"/>
  <c r="H318" i="8"/>
  <c r="F318" i="8" s="1"/>
  <c r="N317" i="8"/>
  <c r="L317" i="8" s="1"/>
  <c r="H317" i="8"/>
  <c r="F317" i="8" s="1"/>
  <c r="J316" i="8"/>
  <c r="N316" i="8" s="1"/>
  <c r="L316" i="8" s="1"/>
  <c r="D316" i="8"/>
  <c r="J315" i="8"/>
  <c r="N315" i="8" s="1"/>
  <c r="L315" i="8" s="1"/>
  <c r="D315" i="8"/>
  <c r="H315" i="8" s="1"/>
  <c r="F315" i="8" s="1"/>
  <c r="J314" i="8"/>
  <c r="N314" i="8" s="1"/>
  <c r="L314" i="8" s="1"/>
  <c r="D314" i="8"/>
  <c r="J313" i="8"/>
  <c r="N313" i="8" s="1"/>
  <c r="L313" i="8" s="1"/>
  <c r="D313" i="8"/>
  <c r="H313" i="8" s="1"/>
  <c r="F313" i="8" s="1"/>
  <c r="J312" i="8"/>
  <c r="N312" i="8" s="1"/>
  <c r="L312" i="8" s="1"/>
  <c r="D312" i="8"/>
  <c r="H312" i="8" s="1"/>
  <c r="F312" i="8" s="1"/>
  <c r="N311" i="8"/>
  <c r="L311" i="8" s="1"/>
  <c r="H311" i="8"/>
  <c r="F311" i="8" s="1"/>
  <c r="J310" i="8"/>
  <c r="D310" i="8"/>
  <c r="D328" i="8" s="1"/>
  <c r="N306" i="8"/>
  <c r="L306" i="8" s="1"/>
  <c r="J306" i="8"/>
  <c r="H306" i="8"/>
  <c r="F306" i="8"/>
  <c r="D306" i="8"/>
  <c r="J305" i="8"/>
  <c r="N305" i="8" s="1"/>
  <c r="D305" i="8"/>
  <c r="H305" i="8" s="1"/>
  <c r="F305" i="8" s="1"/>
  <c r="J304" i="8"/>
  <c r="N304" i="8" s="1"/>
  <c r="L304" i="8" s="1"/>
  <c r="D304" i="8"/>
  <c r="H304" i="8" s="1"/>
  <c r="F304" i="8" s="1"/>
  <c r="J303" i="8"/>
  <c r="N303" i="8" s="1"/>
  <c r="L303" i="8" s="1"/>
  <c r="D303" i="8"/>
  <c r="H303" i="8" s="1"/>
  <c r="F303" i="8" s="1"/>
  <c r="J302" i="8"/>
  <c r="N302" i="8" s="1"/>
  <c r="L302" i="8" s="1"/>
  <c r="D302" i="8"/>
  <c r="H302" i="8" s="1"/>
  <c r="F302" i="8" s="1"/>
  <c r="J301" i="8"/>
  <c r="N301" i="8" s="1"/>
  <c r="D301" i="8"/>
  <c r="H301" i="8" s="1"/>
  <c r="P299" i="8"/>
  <c r="N297" i="8"/>
  <c r="L297" i="8"/>
  <c r="H297" i="8"/>
  <c r="F297" i="8"/>
  <c r="N296" i="8"/>
  <c r="L296" i="8" s="1"/>
  <c r="H296" i="8"/>
  <c r="F296" i="8"/>
  <c r="N295" i="8"/>
  <c r="L295" i="8" s="1"/>
  <c r="H295" i="8"/>
  <c r="F295" i="8" s="1"/>
  <c r="N294" i="8"/>
  <c r="L294" i="8" s="1"/>
  <c r="H294" i="8"/>
  <c r="F294" i="8" s="1"/>
  <c r="N293" i="8"/>
  <c r="L293" i="8" s="1"/>
  <c r="H293" i="8"/>
  <c r="F293" i="8" s="1"/>
  <c r="N292" i="8"/>
  <c r="L292" i="8" s="1"/>
  <c r="H292" i="8"/>
  <c r="F292" i="8" s="1"/>
  <c r="N291" i="8"/>
  <c r="L291" i="8"/>
  <c r="H291" i="8"/>
  <c r="F291" i="8"/>
  <c r="N290" i="8"/>
  <c r="L290" i="8"/>
  <c r="H290" i="8"/>
  <c r="F290" i="8" s="1"/>
  <c r="D290" i="8"/>
  <c r="N289" i="8"/>
  <c r="L289" i="8" s="1"/>
  <c r="H289" i="8"/>
  <c r="F289" i="8" s="1"/>
  <c r="N288" i="8"/>
  <c r="L288" i="8" s="1"/>
  <c r="H288" i="8"/>
  <c r="F288" i="8" s="1"/>
  <c r="N287" i="8"/>
  <c r="L287" i="8" s="1"/>
  <c r="H287" i="8"/>
  <c r="F287" i="8"/>
  <c r="N286" i="8"/>
  <c r="L286" i="8" s="1"/>
  <c r="H286" i="8"/>
  <c r="F286" i="8" s="1"/>
  <c r="N285" i="8"/>
  <c r="L285" i="8" s="1"/>
  <c r="H285" i="8"/>
  <c r="F285" i="8" s="1"/>
  <c r="N284" i="8"/>
  <c r="L284" i="8" s="1"/>
  <c r="H284" i="8"/>
  <c r="F284" i="8"/>
  <c r="N283" i="8"/>
  <c r="L283" i="8" s="1"/>
  <c r="H283" i="8"/>
  <c r="F283" i="8" s="1"/>
  <c r="N282" i="8"/>
  <c r="L282" i="8" s="1"/>
  <c r="H282" i="8"/>
  <c r="F282" i="8" s="1"/>
  <c r="N281" i="8"/>
  <c r="L281" i="8" s="1"/>
  <c r="H281" i="8"/>
  <c r="F281" i="8"/>
  <c r="N279" i="8"/>
  <c r="L279" i="8" s="1"/>
  <c r="H279" i="8"/>
  <c r="F279" i="8" s="1"/>
  <c r="N278" i="8"/>
  <c r="L278" i="8" s="1"/>
  <c r="H278" i="8"/>
  <c r="F278" i="8" s="1"/>
  <c r="N277" i="8"/>
  <c r="L277" i="8" s="1"/>
  <c r="H277" i="8"/>
  <c r="F277" i="8"/>
  <c r="N276" i="8"/>
  <c r="L276" i="8" s="1"/>
  <c r="H276" i="8"/>
  <c r="F276" i="8" s="1"/>
  <c r="N275" i="8"/>
  <c r="L275" i="8" s="1"/>
  <c r="H275" i="8"/>
  <c r="F275" i="8" s="1"/>
  <c r="N274" i="8"/>
  <c r="L274" i="8" s="1"/>
  <c r="H274" i="8"/>
  <c r="F274" i="8"/>
  <c r="J273" i="8"/>
  <c r="N273" i="8" s="1"/>
  <c r="L273" i="8" s="1"/>
  <c r="D273" i="8"/>
  <c r="N272" i="8"/>
  <c r="L272" i="8" s="1"/>
  <c r="J272" i="8"/>
  <c r="H272" i="8" s="1"/>
  <c r="F272" i="8" s="1"/>
  <c r="D272" i="8"/>
  <c r="J271" i="8"/>
  <c r="N271" i="8" s="1"/>
  <c r="L271" i="8" s="1"/>
  <c r="D271" i="8"/>
  <c r="N270" i="8"/>
  <c r="L270" i="8" s="1"/>
  <c r="J270" i="8"/>
  <c r="H270" i="8" s="1"/>
  <c r="F270" i="8" s="1"/>
  <c r="D270" i="8"/>
  <c r="J269" i="8"/>
  <c r="N269" i="8" s="1"/>
  <c r="L269" i="8" s="1"/>
  <c r="D269" i="8"/>
  <c r="N268" i="8"/>
  <c r="L268" i="8" s="1"/>
  <c r="J268" i="8"/>
  <c r="H268" i="8" s="1"/>
  <c r="F268" i="8" s="1"/>
  <c r="D268" i="8"/>
  <c r="J267" i="8"/>
  <c r="N267" i="8" s="1"/>
  <c r="L267" i="8" s="1"/>
  <c r="D267" i="8"/>
  <c r="N266" i="8"/>
  <c r="J266" i="8"/>
  <c r="J299" i="8" s="1"/>
  <c r="D266" i="8"/>
  <c r="D299" i="8" s="1"/>
  <c r="P264" i="8"/>
  <c r="D264" i="8"/>
  <c r="N262" i="8"/>
  <c r="L262" i="8"/>
  <c r="H262" i="8"/>
  <c r="F262" i="8" s="1"/>
  <c r="D262" i="8"/>
  <c r="N261" i="8"/>
  <c r="L261" i="8" s="1"/>
  <c r="H261" i="8"/>
  <c r="F261" i="8" s="1"/>
  <c r="D261" i="8"/>
  <c r="N260" i="8"/>
  <c r="L260" i="8"/>
  <c r="H260" i="8"/>
  <c r="F260" i="8"/>
  <c r="N259" i="8"/>
  <c r="L259" i="8" s="1"/>
  <c r="H259" i="8"/>
  <c r="F259" i="8"/>
  <c r="N258" i="8"/>
  <c r="L258" i="8"/>
  <c r="H258" i="8"/>
  <c r="F258" i="8"/>
  <c r="N257" i="8"/>
  <c r="L257" i="8"/>
  <c r="H257" i="8"/>
  <c r="F257" i="8"/>
  <c r="N256" i="8"/>
  <c r="L256" i="8" s="1"/>
  <c r="H256" i="8"/>
  <c r="F256" i="8" s="1"/>
  <c r="N255" i="8"/>
  <c r="L255" i="8"/>
  <c r="H255" i="8"/>
  <c r="F255" i="8"/>
  <c r="N254" i="8"/>
  <c r="L254" i="8"/>
  <c r="H254" i="8"/>
  <c r="F254" i="8"/>
  <c r="N253" i="8"/>
  <c r="L253" i="8" s="1"/>
  <c r="H253" i="8"/>
  <c r="F253" i="8" s="1"/>
  <c r="N252" i="8"/>
  <c r="L252" i="8"/>
  <c r="H252" i="8"/>
  <c r="F252" i="8"/>
  <c r="N251" i="8"/>
  <c r="L251" i="8"/>
  <c r="H251" i="8"/>
  <c r="F251" i="8"/>
  <c r="N250" i="8"/>
  <c r="L250" i="8" s="1"/>
  <c r="H250" i="8"/>
  <c r="F250" i="8" s="1"/>
  <c r="N249" i="8"/>
  <c r="L249" i="8"/>
  <c r="D249" i="8"/>
  <c r="H249" i="8" s="1"/>
  <c r="F249" i="8" s="1"/>
  <c r="N248" i="8"/>
  <c r="L248" i="8" s="1"/>
  <c r="H248" i="8"/>
  <c r="F248" i="8" s="1"/>
  <c r="N247" i="8"/>
  <c r="L247" i="8"/>
  <c r="H247" i="8"/>
  <c r="F247" i="8" s="1"/>
  <c r="N246" i="8"/>
  <c r="L246" i="8" s="1"/>
  <c r="H246" i="8"/>
  <c r="F246" i="8" s="1"/>
  <c r="N245" i="8"/>
  <c r="L245" i="8" s="1"/>
  <c r="H245" i="8"/>
  <c r="F245" i="8" s="1"/>
  <c r="N244" i="8"/>
  <c r="L244" i="8"/>
  <c r="H244" i="8"/>
  <c r="F244" i="8" s="1"/>
  <c r="N243" i="8"/>
  <c r="L243" i="8" s="1"/>
  <c r="H243" i="8"/>
  <c r="F243" i="8" s="1"/>
  <c r="N242" i="8"/>
  <c r="L242" i="8" s="1"/>
  <c r="H242" i="8"/>
  <c r="F242" i="8" s="1"/>
  <c r="N241" i="8"/>
  <c r="L241" i="8"/>
  <c r="H241" i="8"/>
  <c r="F241" i="8" s="1"/>
  <c r="N240" i="8"/>
  <c r="L240" i="8" s="1"/>
  <c r="J240" i="8"/>
  <c r="D240" i="8"/>
  <c r="H240" i="8" s="1"/>
  <c r="F240" i="8" s="1"/>
  <c r="N239" i="8"/>
  <c r="L239" i="8" s="1"/>
  <c r="J239" i="8"/>
  <c r="H239" i="8"/>
  <c r="F239" i="8" s="1"/>
  <c r="D239" i="8"/>
  <c r="N238" i="8"/>
  <c r="L238" i="8" s="1"/>
  <c r="J238" i="8"/>
  <c r="D238" i="8"/>
  <c r="H238" i="8" s="1"/>
  <c r="F238" i="8" s="1"/>
  <c r="N237" i="8"/>
  <c r="L237" i="8" s="1"/>
  <c r="J237" i="8"/>
  <c r="H237" i="8"/>
  <c r="F237" i="8" s="1"/>
  <c r="D237" i="8"/>
  <c r="N236" i="8"/>
  <c r="L236" i="8" s="1"/>
  <c r="J236" i="8"/>
  <c r="D236" i="8"/>
  <c r="H236" i="8" s="1"/>
  <c r="F236" i="8" s="1"/>
  <c r="N235" i="8"/>
  <c r="L235" i="8" s="1"/>
  <c r="D235" i="8"/>
  <c r="H235" i="8" s="1"/>
  <c r="F235" i="8" s="1"/>
  <c r="N234" i="8"/>
  <c r="L234" i="8"/>
  <c r="H234" i="8"/>
  <c r="F234" i="8"/>
  <c r="N233" i="8"/>
  <c r="L233" i="8"/>
  <c r="H233" i="8"/>
  <c r="F233" i="8"/>
  <c r="N232" i="8"/>
  <c r="L232" i="8" s="1"/>
  <c r="H232" i="8"/>
  <c r="F232" i="8" s="1"/>
  <c r="N231" i="8"/>
  <c r="L231" i="8"/>
  <c r="H231" i="8"/>
  <c r="F231" i="8"/>
  <c r="N230" i="8"/>
  <c r="L230" i="8"/>
  <c r="H230" i="8"/>
  <c r="F230" i="8"/>
  <c r="J229" i="8"/>
  <c r="N229" i="8" s="1"/>
  <c r="L229" i="8" s="1"/>
  <c r="D229" i="8"/>
  <c r="H229" i="8" s="1"/>
  <c r="F229" i="8" s="1"/>
  <c r="J228" i="8"/>
  <c r="N228" i="8" s="1"/>
  <c r="L228" i="8" s="1"/>
  <c r="H228" i="8"/>
  <c r="F228" i="8" s="1"/>
  <c r="D228" i="8"/>
  <c r="J227" i="8"/>
  <c r="N227" i="8" s="1"/>
  <c r="D227" i="8"/>
  <c r="H227" i="8" s="1"/>
  <c r="P225" i="8"/>
  <c r="J225" i="8"/>
  <c r="N222" i="8"/>
  <c r="L222" i="8"/>
  <c r="H222" i="8"/>
  <c r="F222" i="8" s="1"/>
  <c r="N221" i="8"/>
  <c r="L221" i="8" s="1"/>
  <c r="H221" i="8"/>
  <c r="F221" i="8" s="1"/>
  <c r="N220" i="8"/>
  <c r="L220" i="8" s="1"/>
  <c r="H220" i="8"/>
  <c r="F220" i="8" s="1"/>
  <c r="N219" i="8"/>
  <c r="L219" i="8"/>
  <c r="H219" i="8"/>
  <c r="F219" i="8" s="1"/>
  <c r="N218" i="8"/>
  <c r="L218" i="8" s="1"/>
  <c r="H218" i="8"/>
  <c r="F218" i="8" s="1"/>
  <c r="N217" i="8"/>
  <c r="L217" i="8" s="1"/>
  <c r="J217" i="8"/>
  <c r="D217" i="8"/>
  <c r="H217" i="8" s="1"/>
  <c r="F217" i="8" s="1"/>
  <c r="J216" i="8"/>
  <c r="N216" i="8" s="1"/>
  <c r="L216" i="8" s="1"/>
  <c r="D216" i="8"/>
  <c r="H216" i="8" s="1"/>
  <c r="F216" i="8" s="1"/>
  <c r="N215" i="8"/>
  <c r="L215" i="8" s="1"/>
  <c r="J215" i="8"/>
  <c r="D215" i="8"/>
  <c r="D225" i="8" s="1"/>
  <c r="N214" i="8"/>
  <c r="L214" i="8" s="1"/>
  <c r="H214" i="8"/>
  <c r="P212" i="8"/>
  <c r="N210" i="8"/>
  <c r="L210" i="8" s="1"/>
  <c r="H210" i="8"/>
  <c r="F210" i="8"/>
  <c r="J209" i="8"/>
  <c r="N209" i="8" s="1"/>
  <c r="L209" i="8" s="1"/>
  <c r="H209" i="8"/>
  <c r="F209" i="8" s="1"/>
  <c r="D209" i="8"/>
  <c r="J208" i="8"/>
  <c r="N208" i="8" s="1"/>
  <c r="L208" i="8" s="1"/>
  <c r="D208" i="8"/>
  <c r="H208" i="8" s="1"/>
  <c r="F208" i="8" s="1"/>
  <c r="J207" i="8"/>
  <c r="N207" i="8" s="1"/>
  <c r="L207" i="8" s="1"/>
  <c r="H207" i="8"/>
  <c r="F207" i="8" s="1"/>
  <c r="D207" i="8"/>
  <c r="J206" i="8"/>
  <c r="J212" i="8" s="1"/>
  <c r="D206" i="8"/>
  <c r="D212" i="8" s="1"/>
  <c r="P202" i="8"/>
  <c r="N200" i="8"/>
  <c r="L200" i="8"/>
  <c r="H200" i="8"/>
  <c r="F200" i="8"/>
  <c r="N199" i="8"/>
  <c r="L199" i="8"/>
  <c r="H199" i="8"/>
  <c r="F199" i="8" s="1"/>
  <c r="N198" i="8"/>
  <c r="L198" i="8"/>
  <c r="D198" i="8"/>
  <c r="H198" i="8" s="1"/>
  <c r="F198" i="8" s="1"/>
  <c r="N197" i="8"/>
  <c r="L197" i="8" s="1"/>
  <c r="H197" i="8"/>
  <c r="F197" i="8" s="1"/>
  <c r="N196" i="8"/>
  <c r="L196" i="8" s="1"/>
  <c r="H196" i="8"/>
  <c r="F196" i="8" s="1"/>
  <c r="N195" i="8"/>
  <c r="L195" i="8" s="1"/>
  <c r="D195" i="8"/>
  <c r="H195" i="8" s="1"/>
  <c r="F195" i="8" s="1"/>
  <c r="N194" i="8"/>
  <c r="L194" i="8"/>
  <c r="H194" i="8"/>
  <c r="F194" i="8"/>
  <c r="N193" i="8"/>
  <c r="L193" i="8" s="1"/>
  <c r="H193" i="8"/>
  <c r="F193" i="8"/>
  <c r="N192" i="8"/>
  <c r="L192" i="8" s="1"/>
  <c r="H192" i="8"/>
  <c r="F192" i="8"/>
  <c r="N191" i="8"/>
  <c r="L191" i="8"/>
  <c r="H191" i="8"/>
  <c r="N190" i="8"/>
  <c r="L190" i="8" s="1"/>
  <c r="H190" i="8"/>
  <c r="F190" i="8"/>
  <c r="N189" i="8"/>
  <c r="L189" i="8" s="1"/>
  <c r="J189" i="8"/>
  <c r="D189" i="8"/>
  <c r="H189" i="8" s="1"/>
  <c r="F189" i="8" s="1"/>
  <c r="N188" i="8"/>
  <c r="L188" i="8" s="1"/>
  <c r="J188" i="8"/>
  <c r="D188" i="8"/>
  <c r="H188" i="8" s="1"/>
  <c r="F188" i="8" s="1"/>
  <c r="N187" i="8"/>
  <c r="L187" i="8" s="1"/>
  <c r="J187" i="8"/>
  <c r="D187" i="8"/>
  <c r="H187" i="8" s="1"/>
  <c r="F187" i="8" s="1"/>
  <c r="N186" i="8"/>
  <c r="L186" i="8" s="1"/>
  <c r="J186" i="8"/>
  <c r="J202" i="8" s="1"/>
  <c r="D186" i="8"/>
  <c r="H186" i="8" s="1"/>
  <c r="P184" i="8"/>
  <c r="J184" i="8"/>
  <c r="H184" i="8"/>
  <c r="F184" i="8" s="1"/>
  <c r="D184" i="8"/>
  <c r="N182" i="8"/>
  <c r="L182" i="8"/>
  <c r="H182" i="8"/>
  <c r="F182" i="8" s="1"/>
  <c r="N181" i="8"/>
  <c r="L181" i="8"/>
  <c r="H181" i="8"/>
  <c r="F181" i="8"/>
  <c r="N180" i="8"/>
  <c r="L180" i="8" s="1"/>
  <c r="H180" i="8"/>
  <c r="F180" i="8"/>
  <c r="N179" i="8"/>
  <c r="L179" i="8"/>
  <c r="H179" i="8"/>
  <c r="F179" i="8" s="1"/>
  <c r="P177" i="8"/>
  <c r="J177" i="8"/>
  <c r="N175" i="8"/>
  <c r="L175" i="8" s="1"/>
  <c r="H175" i="8"/>
  <c r="F175" i="8" s="1"/>
  <c r="N174" i="8"/>
  <c r="L174" i="8"/>
  <c r="H174" i="8"/>
  <c r="F174" i="8" s="1"/>
  <c r="D174" i="8"/>
  <c r="D177" i="8" s="1"/>
  <c r="N173" i="8"/>
  <c r="L173" i="8"/>
  <c r="H173" i="8"/>
  <c r="F173" i="8"/>
  <c r="N172" i="8"/>
  <c r="N177" i="8" s="1"/>
  <c r="L177" i="8" s="1"/>
  <c r="L172" i="8"/>
  <c r="H172" i="8"/>
  <c r="F172" i="8" s="1"/>
  <c r="P170" i="8"/>
  <c r="J170" i="8"/>
  <c r="N168" i="8"/>
  <c r="L168" i="8" s="1"/>
  <c r="H168" i="8"/>
  <c r="F168" i="8" s="1"/>
  <c r="D168" i="8"/>
  <c r="N167" i="8"/>
  <c r="L167" i="8" s="1"/>
  <c r="D167" i="8"/>
  <c r="H167" i="8" s="1"/>
  <c r="F167" i="8" s="1"/>
  <c r="N165" i="8"/>
  <c r="L165" i="8" s="1"/>
  <c r="D165" i="8"/>
  <c r="H165" i="8" s="1"/>
  <c r="F165" i="8" s="1"/>
  <c r="N164" i="8"/>
  <c r="L164" i="8" s="1"/>
  <c r="H164" i="8"/>
  <c r="F164" i="8" s="1"/>
  <c r="D164" i="8"/>
  <c r="N163" i="8"/>
  <c r="L163" i="8"/>
  <c r="H163" i="8"/>
  <c r="F163" i="8" s="1"/>
  <c r="D163" i="8"/>
  <c r="N162" i="8"/>
  <c r="L162" i="8"/>
  <c r="D162" i="8"/>
  <c r="H162" i="8" s="1"/>
  <c r="F162" i="8" s="1"/>
  <c r="N161" i="8"/>
  <c r="L161" i="8"/>
  <c r="D161" i="8"/>
  <c r="H161" i="8" s="1"/>
  <c r="F161" i="8" s="1"/>
  <c r="N160" i="8"/>
  <c r="L160" i="8"/>
  <c r="D160" i="8"/>
  <c r="H160" i="8" s="1"/>
  <c r="F160" i="8" s="1"/>
  <c r="N159" i="8"/>
  <c r="L159" i="8"/>
  <c r="D159" i="8"/>
  <c r="H159" i="8" s="1"/>
  <c r="F159" i="8" s="1"/>
  <c r="N158" i="8"/>
  <c r="N170" i="8" s="1"/>
  <c r="L170" i="8" s="1"/>
  <c r="L158" i="8"/>
  <c r="D158" i="8"/>
  <c r="D170" i="8" s="1"/>
  <c r="P156" i="8"/>
  <c r="N154" i="8"/>
  <c r="L154" i="8"/>
  <c r="H154" i="8"/>
  <c r="F154" i="8"/>
  <c r="N153" i="8"/>
  <c r="L153" i="8"/>
  <c r="H153" i="8"/>
  <c r="F153" i="8"/>
  <c r="N152" i="8"/>
  <c r="L152" i="8" s="1"/>
  <c r="H152" i="8"/>
  <c r="F152" i="8" s="1"/>
  <c r="N151" i="8"/>
  <c r="L151" i="8"/>
  <c r="H151" i="8"/>
  <c r="F151" i="8" s="1"/>
  <c r="N150" i="8"/>
  <c r="L150" i="8"/>
  <c r="H150" i="8"/>
  <c r="F150" i="8" s="1"/>
  <c r="N149" i="8"/>
  <c r="L149" i="8" s="1"/>
  <c r="H149" i="8"/>
  <c r="F149" i="8" s="1"/>
  <c r="N148" i="8"/>
  <c r="L148" i="8"/>
  <c r="H148" i="8"/>
  <c r="F148" i="8" s="1"/>
  <c r="N147" i="8"/>
  <c r="L147" i="8"/>
  <c r="H147" i="8"/>
  <c r="F147" i="8" s="1"/>
  <c r="J146" i="8"/>
  <c r="N146" i="8" s="1"/>
  <c r="L146" i="8" s="1"/>
  <c r="D146" i="8"/>
  <c r="H146" i="8" s="1"/>
  <c r="F146" i="8" s="1"/>
  <c r="J145" i="8"/>
  <c r="N145" i="8" s="1"/>
  <c r="L145" i="8" s="1"/>
  <c r="H145" i="8"/>
  <c r="F145" i="8" s="1"/>
  <c r="D145" i="8"/>
  <c r="J144" i="8"/>
  <c r="N144" i="8" s="1"/>
  <c r="L144" i="8" s="1"/>
  <c r="D144" i="8"/>
  <c r="H144" i="8" s="1"/>
  <c r="F144" i="8" s="1"/>
  <c r="J143" i="8"/>
  <c r="N143" i="8" s="1"/>
  <c r="L143" i="8" s="1"/>
  <c r="D143" i="8"/>
  <c r="H143" i="8" s="1"/>
  <c r="F143" i="8" s="1"/>
  <c r="J142" i="8"/>
  <c r="N142" i="8" s="1"/>
  <c r="L142" i="8" s="1"/>
  <c r="D142" i="8"/>
  <c r="H142" i="8" s="1"/>
  <c r="F142" i="8" s="1"/>
  <c r="J141" i="8"/>
  <c r="N141" i="8" s="1"/>
  <c r="L141" i="8" s="1"/>
  <c r="D141" i="8"/>
  <c r="H141" i="8" s="1"/>
  <c r="F141" i="8" s="1"/>
  <c r="J140" i="8"/>
  <c r="J156" i="8" s="1"/>
  <c r="D140" i="8"/>
  <c r="D156" i="8" s="1"/>
  <c r="P138" i="8"/>
  <c r="N136" i="8"/>
  <c r="L136" i="8"/>
  <c r="H136" i="8"/>
  <c r="F136" i="8" s="1"/>
  <c r="N135" i="8"/>
  <c r="L135" i="8" s="1"/>
  <c r="H135" i="8"/>
  <c r="F135" i="8" s="1"/>
  <c r="N134" i="8"/>
  <c r="L134" i="8"/>
  <c r="H134" i="8"/>
  <c r="F134" i="8" s="1"/>
  <c r="N133" i="8"/>
  <c r="L133" i="8"/>
  <c r="H133" i="8"/>
  <c r="F133" i="8" s="1"/>
  <c r="N132" i="8"/>
  <c r="L132" i="8" s="1"/>
  <c r="H132" i="8"/>
  <c r="F132" i="8" s="1"/>
  <c r="N131" i="8"/>
  <c r="L131" i="8"/>
  <c r="H131" i="8"/>
  <c r="F131" i="8" s="1"/>
  <c r="N130" i="8"/>
  <c r="L130" i="8"/>
  <c r="H130" i="8"/>
  <c r="F130" i="8" s="1"/>
  <c r="N129" i="8"/>
  <c r="L129" i="8" s="1"/>
  <c r="H129" i="8"/>
  <c r="F129" i="8" s="1"/>
  <c r="N128" i="8"/>
  <c r="L128" i="8"/>
  <c r="H128" i="8"/>
  <c r="F128" i="8" s="1"/>
  <c r="N127" i="8"/>
  <c r="L127" i="8"/>
  <c r="H127" i="8"/>
  <c r="F127" i="8" s="1"/>
  <c r="N126" i="8"/>
  <c r="L126" i="8" s="1"/>
  <c r="J126" i="8"/>
  <c r="D126" i="8"/>
  <c r="H126" i="8" s="1"/>
  <c r="F126" i="8" s="1"/>
  <c r="J125" i="8"/>
  <c r="N125" i="8" s="1"/>
  <c r="L125" i="8" s="1"/>
  <c r="H125" i="8"/>
  <c r="F125" i="8" s="1"/>
  <c r="D125" i="8"/>
  <c r="N124" i="8"/>
  <c r="L124" i="8" s="1"/>
  <c r="J124" i="8"/>
  <c r="D124" i="8"/>
  <c r="H124" i="8" s="1"/>
  <c r="F124" i="8" s="1"/>
  <c r="J123" i="8"/>
  <c r="N123" i="8" s="1"/>
  <c r="L123" i="8" s="1"/>
  <c r="D123" i="8"/>
  <c r="H123" i="8" s="1"/>
  <c r="F123" i="8" s="1"/>
  <c r="N122" i="8"/>
  <c r="L122" i="8" s="1"/>
  <c r="J122" i="8"/>
  <c r="D122" i="8"/>
  <c r="H122" i="8" s="1"/>
  <c r="F122" i="8" s="1"/>
  <c r="J121" i="8"/>
  <c r="J138" i="8" s="1"/>
  <c r="D121" i="8"/>
  <c r="D138" i="8" s="1"/>
  <c r="P119" i="8"/>
  <c r="N117" i="8"/>
  <c r="L117" i="8"/>
  <c r="H117" i="8"/>
  <c r="F117" i="8" s="1"/>
  <c r="N116" i="8"/>
  <c r="H116" i="8"/>
  <c r="F116" i="8" s="1"/>
  <c r="N115" i="8"/>
  <c r="L115" i="8" s="1"/>
  <c r="H115" i="8"/>
  <c r="F115" i="8" s="1"/>
  <c r="N114" i="8"/>
  <c r="L114" i="8" s="1"/>
  <c r="H114" i="8"/>
  <c r="F114" i="8" s="1"/>
  <c r="N112" i="8"/>
  <c r="L112" i="8"/>
  <c r="H112" i="8"/>
  <c r="F112" i="8" s="1"/>
  <c r="J111" i="8"/>
  <c r="N111" i="8" s="1"/>
  <c r="L111" i="8" s="1"/>
  <c r="D111" i="8"/>
  <c r="H111" i="8" s="1"/>
  <c r="F111" i="8" s="1"/>
  <c r="J110" i="8"/>
  <c r="N110" i="8" s="1"/>
  <c r="L110" i="8" s="1"/>
  <c r="H110" i="8"/>
  <c r="F110" i="8"/>
  <c r="D110" i="8"/>
  <c r="J109" i="8"/>
  <c r="N109" i="8" s="1"/>
  <c r="L109" i="8" s="1"/>
  <c r="D109" i="8"/>
  <c r="H109" i="8" s="1"/>
  <c r="F109" i="8" s="1"/>
  <c r="J108" i="8"/>
  <c r="N108" i="8" s="1"/>
  <c r="L108" i="8" s="1"/>
  <c r="D108" i="8"/>
  <c r="H108" i="8" s="1"/>
  <c r="F108" i="8" s="1"/>
  <c r="J107" i="8"/>
  <c r="N107" i="8" s="1"/>
  <c r="L107" i="8" s="1"/>
  <c r="D107" i="8"/>
  <c r="H107" i="8" s="1"/>
  <c r="F107" i="8" s="1"/>
  <c r="N106" i="8"/>
  <c r="L106" i="8"/>
  <c r="H106" i="8"/>
  <c r="F106" i="8"/>
  <c r="N105" i="8"/>
  <c r="L105" i="8" s="1"/>
  <c r="J105" i="8"/>
  <c r="J119" i="8" s="1"/>
  <c r="D105" i="8"/>
  <c r="H105" i="8" s="1"/>
  <c r="F105" i="8" s="1"/>
  <c r="N104" i="8"/>
  <c r="H104" i="8"/>
  <c r="P102" i="8"/>
  <c r="J102" i="8"/>
  <c r="N100" i="8"/>
  <c r="L100" i="8" s="1"/>
  <c r="H100" i="8"/>
  <c r="F100" i="8"/>
  <c r="N99" i="8"/>
  <c r="L99" i="8"/>
  <c r="H99" i="8"/>
  <c r="F99" i="8" s="1"/>
  <c r="N98" i="8"/>
  <c r="L98" i="8" s="1"/>
  <c r="H98" i="8"/>
  <c r="F98" i="8" s="1"/>
  <c r="N97" i="8"/>
  <c r="L97" i="8" s="1"/>
  <c r="H97" i="8"/>
  <c r="F97" i="8" s="1"/>
  <c r="N96" i="8"/>
  <c r="L96" i="8"/>
  <c r="H96" i="8"/>
  <c r="F96" i="8" s="1"/>
  <c r="N95" i="8"/>
  <c r="L95" i="8" s="1"/>
  <c r="H95" i="8"/>
  <c r="F95" i="8" s="1"/>
  <c r="N94" i="8"/>
  <c r="L94" i="8" s="1"/>
  <c r="H94" i="8"/>
  <c r="F94" i="8" s="1"/>
  <c r="J93" i="8"/>
  <c r="N93" i="8" s="1"/>
  <c r="L93" i="8" s="1"/>
  <c r="D93" i="8"/>
  <c r="H93" i="8" s="1"/>
  <c r="F93" i="8" s="1"/>
  <c r="J92" i="8"/>
  <c r="N92" i="8" s="1"/>
  <c r="L92" i="8" s="1"/>
  <c r="D92" i="8"/>
  <c r="H92" i="8" s="1"/>
  <c r="F92" i="8" s="1"/>
  <c r="J91" i="8"/>
  <c r="N91" i="8" s="1"/>
  <c r="L91" i="8" s="1"/>
  <c r="D91" i="8"/>
  <c r="H91" i="8" s="1"/>
  <c r="F91" i="8" s="1"/>
  <c r="J90" i="8"/>
  <c r="N90" i="8" s="1"/>
  <c r="L90" i="8" s="1"/>
  <c r="D90" i="8"/>
  <c r="H90" i="8" s="1"/>
  <c r="F90" i="8" s="1"/>
  <c r="J89" i="8"/>
  <c r="N89" i="8" s="1"/>
  <c r="L89" i="8" s="1"/>
  <c r="D89" i="8"/>
  <c r="H89" i="8" s="1"/>
  <c r="F89" i="8" s="1"/>
  <c r="N88" i="8"/>
  <c r="L88" i="8" s="1"/>
  <c r="H88" i="8"/>
  <c r="F88" i="8" s="1"/>
  <c r="J87" i="8"/>
  <c r="N87" i="8" s="1"/>
  <c r="L87" i="8" s="1"/>
  <c r="D87" i="8"/>
  <c r="H87" i="8" s="1"/>
  <c r="F87" i="8" s="1"/>
  <c r="N86" i="8"/>
  <c r="L86" i="8" s="1"/>
  <c r="J86" i="8"/>
  <c r="D86" i="8"/>
  <c r="D102" i="8" s="1"/>
  <c r="P84" i="8"/>
  <c r="D84" i="8"/>
  <c r="N82" i="8"/>
  <c r="L82" i="8" s="1"/>
  <c r="H82" i="8"/>
  <c r="F82" i="8"/>
  <c r="N81" i="8"/>
  <c r="L81" i="8"/>
  <c r="H81" i="8"/>
  <c r="F81" i="8" s="1"/>
  <c r="N80" i="8"/>
  <c r="L80" i="8" s="1"/>
  <c r="H80" i="8"/>
  <c r="F80" i="8"/>
  <c r="N79" i="8"/>
  <c r="L79" i="8" s="1"/>
  <c r="H79" i="8"/>
  <c r="F79" i="8"/>
  <c r="N78" i="8"/>
  <c r="L78" i="8"/>
  <c r="H78" i="8"/>
  <c r="F78" i="8" s="1"/>
  <c r="N77" i="8"/>
  <c r="L77" i="8" s="1"/>
  <c r="H77" i="8"/>
  <c r="F77" i="8"/>
  <c r="N76" i="8"/>
  <c r="L76" i="8" s="1"/>
  <c r="H76" i="8"/>
  <c r="F76" i="8" s="1"/>
  <c r="N75" i="8"/>
  <c r="L75" i="8"/>
  <c r="H75" i="8"/>
  <c r="F75" i="8" s="1"/>
  <c r="N74" i="8"/>
  <c r="L74" i="8" s="1"/>
  <c r="H74" i="8"/>
  <c r="F74" i="8"/>
  <c r="J73" i="8"/>
  <c r="N73" i="8" s="1"/>
  <c r="L73" i="8" s="1"/>
  <c r="N72" i="8"/>
  <c r="L72" i="8" s="1"/>
  <c r="H72" i="8"/>
  <c r="F72" i="8" s="1"/>
  <c r="N71" i="8"/>
  <c r="L71" i="8" s="1"/>
  <c r="H71" i="8"/>
  <c r="F71" i="8" s="1"/>
  <c r="J70" i="8"/>
  <c r="N70" i="8" s="1"/>
  <c r="L70" i="8" s="1"/>
  <c r="D70" i="8"/>
  <c r="H70" i="8" s="1"/>
  <c r="F70" i="8" s="1"/>
  <c r="J69" i="8"/>
  <c r="N69" i="8" s="1"/>
  <c r="L69" i="8" s="1"/>
  <c r="D69" i="8"/>
  <c r="H69" i="8" s="1"/>
  <c r="F69" i="8" s="1"/>
  <c r="J68" i="8"/>
  <c r="N68" i="8" s="1"/>
  <c r="L68" i="8" s="1"/>
  <c r="D68" i="8"/>
  <c r="H68" i="8" s="1"/>
  <c r="F68" i="8" s="1"/>
  <c r="J67" i="8"/>
  <c r="N67" i="8" s="1"/>
  <c r="L67" i="8" s="1"/>
  <c r="D67" i="8"/>
  <c r="H67" i="8" s="1"/>
  <c r="F67" i="8" s="1"/>
  <c r="J66" i="8"/>
  <c r="N66" i="8" s="1"/>
  <c r="L66" i="8" s="1"/>
  <c r="D66" i="8"/>
  <c r="H66" i="8" s="1"/>
  <c r="F66" i="8" s="1"/>
  <c r="N65" i="8"/>
  <c r="L65" i="8" s="1"/>
  <c r="D65" i="8"/>
  <c r="H65" i="8" s="1"/>
  <c r="F65" i="8" s="1"/>
  <c r="N64" i="8"/>
  <c r="L64" i="8" s="1"/>
  <c r="D64" i="8"/>
  <c r="H64" i="8" s="1"/>
  <c r="F64" i="8" s="1"/>
  <c r="J63" i="8"/>
  <c r="N63" i="8" s="1"/>
  <c r="L63" i="8" s="1"/>
  <c r="D63" i="8"/>
  <c r="H63" i="8" s="1"/>
  <c r="F63" i="8" s="1"/>
  <c r="N62" i="8"/>
  <c r="L62" i="8" s="1"/>
  <c r="D62" i="8"/>
  <c r="H62" i="8" s="1"/>
  <c r="P60" i="8"/>
  <c r="J60" i="8"/>
  <c r="D60" i="8"/>
  <c r="N58" i="8"/>
  <c r="L58" i="8" s="1"/>
  <c r="H58" i="8"/>
  <c r="F58" i="8" s="1"/>
  <c r="P55" i="8"/>
  <c r="P53" i="8"/>
  <c r="N53" i="8"/>
  <c r="L53" i="8" s="1"/>
  <c r="H53" i="8"/>
  <c r="F53" i="8" s="1"/>
  <c r="N52" i="8"/>
  <c r="L52" i="8" s="1"/>
  <c r="H52" i="8"/>
  <c r="F52" i="8" s="1"/>
  <c r="N51" i="8"/>
  <c r="L51" i="8" s="1"/>
  <c r="H51" i="8"/>
  <c r="F51" i="8" s="1"/>
  <c r="N50" i="8"/>
  <c r="L50" i="8" s="1"/>
  <c r="H50" i="8"/>
  <c r="F50" i="8" s="1"/>
  <c r="N49" i="8"/>
  <c r="L49" i="8" s="1"/>
  <c r="H49" i="8"/>
  <c r="F49" i="8" s="1"/>
  <c r="J48" i="8"/>
  <c r="N48" i="8" s="1"/>
  <c r="L48" i="8" s="1"/>
  <c r="D48" i="8"/>
  <c r="H48" i="8" s="1"/>
  <c r="F48" i="8" s="1"/>
  <c r="J47" i="8"/>
  <c r="N47" i="8" s="1"/>
  <c r="L47" i="8" s="1"/>
  <c r="D47" i="8"/>
  <c r="H47" i="8" s="1"/>
  <c r="F47" i="8" s="1"/>
  <c r="J46" i="8"/>
  <c r="J55" i="8" s="1"/>
  <c r="D46" i="8"/>
  <c r="D55" i="8" s="1"/>
  <c r="P44" i="8"/>
  <c r="N42" i="8"/>
  <c r="L42" i="8"/>
  <c r="H42" i="8"/>
  <c r="F42" i="8"/>
  <c r="N41" i="8"/>
  <c r="L41" i="8"/>
  <c r="H41" i="8"/>
  <c r="F41" i="8"/>
  <c r="N40" i="8"/>
  <c r="L40" i="8" s="1"/>
  <c r="H40" i="8"/>
  <c r="F40" i="8" s="1"/>
  <c r="N39" i="8"/>
  <c r="L39" i="8" s="1"/>
  <c r="H39" i="8"/>
  <c r="F39" i="8"/>
  <c r="J38" i="8"/>
  <c r="N38" i="8" s="1"/>
  <c r="L38" i="8" s="1"/>
  <c r="D38" i="8"/>
  <c r="H38" i="8" s="1"/>
  <c r="F38" i="8" s="1"/>
  <c r="J37" i="8"/>
  <c r="N37" i="8" s="1"/>
  <c r="L37" i="8" s="1"/>
  <c r="D37" i="8"/>
  <c r="H37" i="8" s="1"/>
  <c r="F37" i="8" s="1"/>
  <c r="J36" i="8"/>
  <c r="N36" i="8" s="1"/>
  <c r="D36" i="8"/>
  <c r="H36" i="8" s="1"/>
  <c r="P34" i="8"/>
  <c r="N32" i="8"/>
  <c r="L32" i="8"/>
  <c r="H32" i="8"/>
  <c r="F32" i="8" s="1"/>
  <c r="N31" i="8"/>
  <c r="H31" i="8"/>
  <c r="N30" i="8"/>
  <c r="L30" i="8"/>
  <c r="H30" i="8"/>
  <c r="F30" i="8" s="1"/>
  <c r="N29" i="8"/>
  <c r="L29" i="8" s="1"/>
  <c r="H29" i="8"/>
  <c r="F29" i="8"/>
  <c r="N28" i="8"/>
  <c r="L28" i="8" s="1"/>
  <c r="H28" i="8"/>
  <c r="F28" i="8"/>
  <c r="N27" i="8"/>
  <c r="L27" i="8" s="1"/>
  <c r="H27" i="8"/>
  <c r="F27" i="8" s="1"/>
  <c r="N26" i="8"/>
  <c r="L26" i="8" s="1"/>
  <c r="H26" i="8"/>
  <c r="F26" i="8" s="1"/>
  <c r="N25" i="8"/>
  <c r="L25" i="8" s="1"/>
  <c r="H25" i="8"/>
  <c r="F25" i="8"/>
  <c r="N24" i="8"/>
  <c r="L24" i="8" s="1"/>
  <c r="H24" i="8"/>
  <c r="F24" i="8" s="1"/>
  <c r="N23" i="8"/>
  <c r="L23" i="8" s="1"/>
  <c r="J23" i="8"/>
  <c r="D23" i="8"/>
  <c r="H23" i="8" s="1"/>
  <c r="F23" i="8" s="1"/>
  <c r="J22" i="8"/>
  <c r="N22" i="8" s="1"/>
  <c r="L22" i="8" s="1"/>
  <c r="D22" i="8"/>
  <c r="H22" i="8" s="1"/>
  <c r="F22" i="8" s="1"/>
  <c r="N21" i="8"/>
  <c r="L21" i="8" s="1"/>
  <c r="J21" i="8"/>
  <c r="D21" i="8"/>
  <c r="H21" i="8" s="1"/>
  <c r="F21" i="8" s="1"/>
  <c r="J20" i="8"/>
  <c r="N20" i="8" s="1"/>
  <c r="L20" i="8" s="1"/>
  <c r="D20" i="8"/>
  <c r="H20" i="8" s="1"/>
  <c r="F20" i="8" s="1"/>
  <c r="N19" i="8"/>
  <c r="L19" i="8" s="1"/>
  <c r="J19" i="8"/>
  <c r="D19" i="8"/>
  <c r="H19" i="8" s="1"/>
  <c r="F19" i="8" s="1"/>
  <c r="J18" i="8"/>
  <c r="N18" i="8" s="1"/>
  <c r="L18" i="8" s="1"/>
  <c r="D18" i="8"/>
  <c r="H18" i="8" s="1"/>
  <c r="F18" i="8" s="1"/>
  <c r="N17" i="8"/>
  <c r="L17" i="8" s="1"/>
  <c r="J17" i="8"/>
  <c r="J34" i="8" s="1"/>
  <c r="D17" i="8"/>
  <c r="D34" i="8" s="1"/>
  <c r="N16" i="8"/>
  <c r="L16" i="8" s="1"/>
  <c r="H16" i="8"/>
  <c r="F16" i="8" s="1"/>
  <c r="P14" i="8"/>
  <c r="N12" i="8"/>
  <c r="L12" i="8" s="1"/>
  <c r="H12" i="8"/>
  <c r="F12" i="8"/>
  <c r="D12" i="8"/>
  <c r="N11" i="8"/>
  <c r="L11" i="8" s="1"/>
  <c r="H11" i="8"/>
  <c r="F11" i="8" s="1"/>
  <c r="N10" i="8"/>
  <c r="L10" i="8" s="1"/>
  <c r="H10" i="8"/>
  <c r="N9" i="8"/>
  <c r="L9" i="8" s="1"/>
  <c r="H9" i="8"/>
  <c r="F9" i="8"/>
  <c r="N8" i="8"/>
  <c r="H8" i="8"/>
  <c r="F8" i="8" s="1"/>
  <c r="N7" i="8"/>
  <c r="L7" i="8" s="1"/>
  <c r="H7" i="8"/>
  <c r="F7" i="8" s="1"/>
  <c r="N6" i="8"/>
  <c r="L6" i="8" s="1"/>
  <c r="J6" i="8"/>
  <c r="D6" i="8"/>
  <c r="H6" i="8" s="1"/>
  <c r="F6" i="8" s="1"/>
  <c r="J5" i="8"/>
  <c r="N5" i="8" s="1"/>
  <c r="L5" i="8" s="1"/>
  <c r="D5" i="8"/>
  <c r="H5" i="8" s="1"/>
  <c r="F5" i="8" s="1"/>
  <c r="N4" i="8"/>
  <c r="L4" i="8" s="1"/>
  <c r="J4" i="8"/>
  <c r="J14" i="8" s="1"/>
  <c r="D4" i="8"/>
  <c r="D14" i="8" s="1"/>
  <c r="J623" i="7"/>
  <c r="D621" i="7"/>
  <c r="H621" i="7" s="1"/>
  <c r="F621" i="7" s="1"/>
  <c r="D620" i="7"/>
  <c r="H620" i="7" s="1"/>
  <c r="F620" i="7" s="1"/>
  <c r="D619" i="7"/>
  <c r="H619" i="7" s="1"/>
  <c r="F619" i="7" s="1"/>
  <c r="D618" i="7"/>
  <c r="H618" i="7" s="1"/>
  <c r="F618" i="7" s="1"/>
  <c r="H617" i="7"/>
  <c r="F617" i="7" s="1"/>
  <c r="H616" i="7"/>
  <c r="F616" i="7" s="1"/>
  <c r="H615" i="7"/>
  <c r="F615" i="7" s="1"/>
  <c r="H614" i="7"/>
  <c r="F614" i="7" s="1"/>
  <c r="H613" i="7"/>
  <c r="F613" i="7" s="1"/>
  <c r="D612" i="7"/>
  <c r="H612" i="7" s="1"/>
  <c r="F612" i="7" s="1"/>
  <c r="H611" i="7"/>
  <c r="F611" i="7" s="1"/>
  <c r="D610" i="7"/>
  <c r="H610" i="7" s="1"/>
  <c r="F610" i="7" s="1"/>
  <c r="H609" i="7"/>
  <c r="F609" i="7" s="1"/>
  <c r="H608" i="7"/>
  <c r="F608" i="7" s="1"/>
  <c r="H607" i="7"/>
  <c r="F607" i="7" s="1"/>
  <c r="H606" i="7"/>
  <c r="F606" i="7" s="1"/>
  <c r="H605" i="7"/>
  <c r="F605" i="7" s="1"/>
  <c r="H604" i="7"/>
  <c r="F604" i="7" s="1"/>
  <c r="H603" i="7"/>
  <c r="F603" i="7" s="1"/>
  <c r="H602" i="7"/>
  <c r="F602" i="7" s="1"/>
  <c r="H601" i="7"/>
  <c r="F601" i="7" s="1"/>
  <c r="D600" i="7"/>
  <c r="H600" i="7" s="1"/>
  <c r="F600" i="7" s="1"/>
  <c r="H599" i="7"/>
  <c r="F599" i="7" s="1"/>
  <c r="H598" i="7"/>
  <c r="F598" i="7" s="1"/>
  <c r="H597" i="7"/>
  <c r="F597" i="7" s="1"/>
  <c r="H596" i="7"/>
  <c r="F596" i="7" s="1"/>
  <c r="H595" i="7"/>
  <c r="F595" i="7" s="1"/>
  <c r="H594" i="7"/>
  <c r="F594" i="7" s="1"/>
  <c r="H593" i="7"/>
  <c r="F593" i="7" s="1"/>
  <c r="H592" i="7"/>
  <c r="F592" i="7" s="1"/>
  <c r="H591" i="7"/>
  <c r="F591" i="7" s="1"/>
  <c r="H590" i="7"/>
  <c r="F590" i="7" s="1"/>
  <c r="H589" i="7"/>
  <c r="F589" i="7" s="1"/>
  <c r="H588" i="7"/>
  <c r="F588" i="7" s="1"/>
  <c r="H587" i="7"/>
  <c r="F587" i="7" s="1"/>
  <c r="H586" i="7"/>
  <c r="F586" i="7" s="1"/>
  <c r="H585" i="7"/>
  <c r="F585" i="7" s="1"/>
  <c r="H584" i="7"/>
  <c r="F584" i="7" s="1"/>
  <c r="H583" i="7"/>
  <c r="F583" i="7" s="1"/>
  <c r="H582" i="7"/>
  <c r="F582" i="7" s="1"/>
  <c r="H581" i="7"/>
  <c r="F581" i="7" s="1"/>
  <c r="H580" i="7"/>
  <c r="F580" i="7" s="1"/>
  <c r="D579" i="7"/>
  <c r="H579" i="7" s="1"/>
  <c r="F579" i="7" s="1"/>
  <c r="H578" i="7"/>
  <c r="F578" i="7" s="1"/>
  <c r="D577" i="7"/>
  <c r="H577" i="7" s="1"/>
  <c r="F577" i="7" s="1"/>
  <c r="H576" i="7"/>
  <c r="F576" i="7" s="1"/>
  <c r="H575" i="7"/>
  <c r="F575" i="7" s="1"/>
  <c r="D574" i="7"/>
  <c r="H574" i="7" s="1"/>
  <c r="F574" i="7" s="1"/>
  <c r="H573" i="7"/>
  <c r="F573" i="7" s="1"/>
  <c r="D572" i="7"/>
  <c r="H572" i="7" s="1"/>
  <c r="F572" i="7" s="1"/>
  <c r="H570" i="7"/>
  <c r="H565" i="7"/>
  <c r="J557" i="7"/>
  <c r="N560" i="7" s="1"/>
  <c r="H555" i="7"/>
  <c r="D554" i="7"/>
  <c r="H554" i="7" s="1"/>
  <c r="F554" i="7" s="1"/>
  <c r="H553" i="7"/>
  <c r="D552" i="7"/>
  <c r="H552" i="7" s="1"/>
  <c r="F552" i="7" s="1"/>
  <c r="D551" i="7"/>
  <c r="H551" i="7" s="1"/>
  <c r="F551" i="7" s="1"/>
  <c r="D550" i="7"/>
  <c r="H550" i="7" s="1"/>
  <c r="F550" i="7" s="1"/>
  <c r="D549" i="7"/>
  <c r="H549" i="7" s="1"/>
  <c r="H548" i="7"/>
  <c r="F548" i="7" s="1"/>
  <c r="H547" i="7"/>
  <c r="F547" i="7" s="1"/>
  <c r="D546" i="7"/>
  <c r="H546" i="7" s="1"/>
  <c r="F546" i="7" s="1"/>
  <c r="H545" i="7"/>
  <c r="J543" i="7"/>
  <c r="D543" i="7"/>
  <c r="H541" i="7"/>
  <c r="H540" i="7"/>
  <c r="F540" i="7" s="1"/>
  <c r="J535" i="7"/>
  <c r="H533" i="7"/>
  <c r="F533" i="7" s="1"/>
  <c r="H532" i="7"/>
  <c r="F532" i="7" s="1"/>
  <c r="H531" i="7"/>
  <c r="F531" i="7" s="1"/>
  <c r="H530" i="7"/>
  <c r="F530" i="7" s="1"/>
  <c r="H529" i="7"/>
  <c r="F529" i="7" s="1"/>
  <c r="H528" i="7"/>
  <c r="F528" i="7" s="1"/>
  <c r="H527" i="7"/>
  <c r="F527" i="7" s="1"/>
  <c r="H526" i="7"/>
  <c r="F526" i="7" s="1"/>
  <c r="H525" i="7"/>
  <c r="F525" i="7" s="1"/>
  <c r="D524" i="7"/>
  <c r="H524" i="7" s="1"/>
  <c r="F524" i="7" s="1"/>
  <c r="D523" i="7"/>
  <c r="H523" i="7" s="1"/>
  <c r="F523" i="7" s="1"/>
  <c r="D522" i="7"/>
  <c r="H522" i="7" s="1"/>
  <c r="F522" i="7" s="1"/>
  <c r="D521" i="7"/>
  <c r="H521" i="7" s="1"/>
  <c r="F521" i="7" s="1"/>
  <c r="D520" i="7"/>
  <c r="H520" i="7" s="1"/>
  <c r="F520" i="7" s="1"/>
  <c r="D519" i="7"/>
  <c r="J517" i="7"/>
  <c r="D517" i="7"/>
  <c r="H515" i="7"/>
  <c r="H514" i="7"/>
  <c r="F514" i="7" s="1"/>
  <c r="H513" i="7"/>
  <c r="F513" i="7" s="1"/>
  <c r="H512" i="7"/>
  <c r="F512" i="7" s="1"/>
  <c r="H511" i="7"/>
  <c r="F511" i="7" s="1"/>
  <c r="H510" i="7"/>
  <c r="J508" i="7"/>
  <c r="H506" i="7"/>
  <c r="D505" i="7"/>
  <c r="H505" i="7" s="1"/>
  <c r="F505" i="7" s="1"/>
  <c r="H504" i="7"/>
  <c r="F504" i="7" s="1"/>
  <c r="H503" i="7"/>
  <c r="F503" i="7" s="1"/>
  <c r="H502" i="7"/>
  <c r="F502" i="7" s="1"/>
  <c r="H501" i="7"/>
  <c r="F501" i="7" s="1"/>
  <c r="H500" i="7"/>
  <c r="F500" i="7" s="1"/>
  <c r="H499" i="7"/>
  <c r="F499" i="7" s="1"/>
  <c r="H498" i="7"/>
  <c r="F498" i="7" s="1"/>
  <c r="H497" i="7"/>
  <c r="F497" i="7" s="1"/>
  <c r="D496" i="7"/>
  <c r="H496" i="7" s="1"/>
  <c r="F496" i="7" s="1"/>
  <c r="H495" i="7"/>
  <c r="F495" i="7" s="1"/>
  <c r="H494" i="7"/>
  <c r="F494" i="7" s="1"/>
  <c r="H493" i="7"/>
  <c r="F493" i="7" s="1"/>
  <c r="H492" i="7"/>
  <c r="H491" i="7"/>
  <c r="F491" i="7" s="1"/>
  <c r="H490" i="7"/>
  <c r="F490" i="7" s="1"/>
  <c r="H489" i="7"/>
  <c r="F489" i="7" s="1"/>
  <c r="H488" i="7"/>
  <c r="F488" i="7" s="1"/>
  <c r="H487" i="7"/>
  <c r="F487" i="7" s="1"/>
  <c r="D486" i="7"/>
  <c r="H486" i="7" s="1"/>
  <c r="F486" i="7" s="1"/>
  <c r="H485" i="7"/>
  <c r="F485" i="7" s="1"/>
  <c r="H484" i="7"/>
  <c r="F484" i="7" s="1"/>
  <c r="H483" i="7"/>
  <c r="F483" i="7" s="1"/>
  <c r="H482" i="7"/>
  <c r="F482" i="7" s="1"/>
  <c r="H481" i="7"/>
  <c r="F481" i="7" s="1"/>
  <c r="H480" i="7"/>
  <c r="F480" i="7" s="1"/>
  <c r="H479" i="7"/>
  <c r="F479" i="7" s="1"/>
  <c r="H478" i="7"/>
  <c r="F478" i="7" s="1"/>
  <c r="H477" i="7"/>
  <c r="F477" i="7" s="1"/>
  <c r="D476" i="7"/>
  <c r="H476" i="7" s="1"/>
  <c r="F476" i="7" s="1"/>
  <c r="H475" i="7"/>
  <c r="F475" i="7" s="1"/>
  <c r="D474" i="7"/>
  <c r="H474" i="7" s="1"/>
  <c r="F474" i="7" s="1"/>
  <c r="D473" i="7"/>
  <c r="H473" i="7" s="1"/>
  <c r="F473" i="7" s="1"/>
  <c r="D472" i="7"/>
  <c r="H472" i="7" s="1"/>
  <c r="F472" i="7" s="1"/>
  <c r="H471" i="7"/>
  <c r="F471" i="7" s="1"/>
  <c r="D470" i="7"/>
  <c r="H470" i="7" s="1"/>
  <c r="F470" i="7" s="1"/>
  <c r="D469" i="7"/>
  <c r="H469" i="7" s="1"/>
  <c r="F469" i="7" s="1"/>
  <c r="D468" i="7"/>
  <c r="H468" i="7" s="1"/>
  <c r="J466" i="7"/>
  <c r="H464" i="7"/>
  <c r="F464" i="7" s="1"/>
  <c r="D463" i="7"/>
  <c r="H463" i="7" s="1"/>
  <c r="F463" i="7" s="1"/>
  <c r="H462" i="7"/>
  <c r="F462" i="7" s="1"/>
  <c r="D461" i="7"/>
  <c r="H461" i="7" s="1"/>
  <c r="F461" i="7" s="1"/>
  <c r="H460" i="7"/>
  <c r="F460" i="7" s="1"/>
  <c r="H459" i="7"/>
  <c r="F459" i="7" s="1"/>
  <c r="H458" i="7"/>
  <c r="F458" i="7" s="1"/>
  <c r="H457" i="7"/>
  <c r="F457" i="7" s="1"/>
  <c r="H456" i="7"/>
  <c r="F456" i="7" s="1"/>
  <c r="H455" i="7"/>
  <c r="F455" i="7" s="1"/>
  <c r="D454" i="7"/>
  <c r="H454" i="7" s="1"/>
  <c r="F454" i="7" s="1"/>
  <c r="D453" i="7"/>
  <c r="H453" i="7" s="1"/>
  <c r="F453" i="7" s="1"/>
  <c r="H452" i="7"/>
  <c r="F452" i="7" s="1"/>
  <c r="H451" i="7"/>
  <c r="F451" i="7" s="1"/>
  <c r="H450" i="7"/>
  <c r="F450" i="7" s="1"/>
  <c r="H449" i="7"/>
  <c r="F449" i="7" s="1"/>
  <c r="D448" i="7"/>
  <c r="H448" i="7" s="1"/>
  <c r="F448" i="7" s="1"/>
  <c r="H447" i="7"/>
  <c r="F447" i="7" s="1"/>
  <c r="D446" i="7"/>
  <c r="H446" i="7" s="1"/>
  <c r="J444" i="7"/>
  <c r="D444" i="7"/>
  <c r="H442" i="7"/>
  <c r="H441" i="7"/>
  <c r="F441" i="7" s="1"/>
  <c r="H440" i="7"/>
  <c r="F440" i="7" s="1"/>
  <c r="J438" i="7"/>
  <c r="H436" i="7"/>
  <c r="F436" i="7" s="1"/>
  <c r="H435" i="7"/>
  <c r="F435" i="7" s="1"/>
  <c r="H434" i="7"/>
  <c r="F434" i="7" s="1"/>
  <c r="D433" i="7"/>
  <c r="H433" i="7" s="1"/>
  <c r="F433" i="7" s="1"/>
  <c r="H432" i="7"/>
  <c r="F432" i="7" s="1"/>
  <c r="D431" i="7"/>
  <c r="H431" i="7" s="1"/>
  <c r="F431" i="7" s="1"/>
  <c r="H430" i="7"/>
  <c r="F430" i="7" s="1"/>
  <c r="H429" i="7"/>
  <c r="F429" i="7" s="1"/>
  <c r="H428" i="7"/>
  <c r="F428" i="7" s="1"/>
  <c r="H427" i="7"/>
  <c r="F427" i="7" s="1"/>
  <c r="H426" i="7"/>
  <c r="F426" i="7" s="1"/>
  <c r="H425" i="7"/>
  <c r="F425" i="7" s="1"/>
  <c r="H424" i="7"/>
  <c r="F424" i="7" s="1"/>
  <c r="H423" i="7"/>
  <c r="F423" i="7" s="1"/>
  <c r="H422" i="7"/>
  <c r="F422" i="7" s="1"/>
  <c r="H421" i="7"/>
  <c r="F421" i="7" s="1"/>
  <c r="H420" i="7"/>
  <c r="F420" i="7" s="1"/>
  <c r="H419" i="7"/>
  <c r="F419" i="7" s="1"/>
  <c r="H418" i="7"/>
  <c r="F418" i="7" s="1"/>
  <c r="H417" i="7"/>
  <c r="F417" i="7" s="1"/>
  <c r="H416" i="7"/>
  <c r="F416" i="7" s="1"/>
  <c r="H415" i="7"/>
  <c r="F415" i="7" s="1"/>
  <c r="H414" i="7"/>
  <c r="F414" i="7" s="1"/>
  <c r="H413" i="7"/>
  <c r="F413" i="7" s="1"/>
  <c r="D412" i="7"/>
  <c r="H412" i="7" s="1"/>
  <c r="F412" i="7" s="1"/>
  <c r="H411" i="7"/>
  <c r="F411" i="7" s="1"/>
  <c r="D410" i="7"/>
  <c r="H409" i="7"/>
  <c r="H408" i="7"/>
  <c r="F408" i="7" s="1"/>
  <c r="H407" i="7"/>
  <c r="F407" i="7" s="1"/>
  <c r="J405" i="7"/>
  <c r="H403" i="7"/>
  <c r="F403" i="7" s="1"/>
  <c r="H402" i="7"/>
  <c r="F402" i="7" s="1"/>
  <c r="H401" i="7"/>
  <c r="F401" i="7" s="1"/>
  <c r="D400" i="7"/>
  <c r="H400" i="7" s="1"/>
  <c r="F400" i="7" s="1"/>
  <c r="D399" i="7"/>
  <c r="H399" i="7" s="1"/>
  <c r="F399" i="7" s="1"/>
  <c r="D398" i="7"/>
  <c r="H397" i="7"/>
  <c r="J395" i="7"/>
  <c r="H393" i="7"/>
  <c r="F393" i="7" s="1"/>
  <c r="D392" i="7"/>
  <c r="H392" i="7" s="1"/>
  <c r="F392" i="7" s="1"/>
  <c r="H391" i="7"/>
  <c r="F391" i="7" s="1"/>
  <c r="H390" i="7"/>
  <c r="F390" i="7" s="1"/>
  <c r="H389" i="7"/>
  <c r="F389" i="7" s="1"/>
  <c r="H388" i="7"/>
  <c r="F388" i="7" s="1"/>
  <c r="H387" i="7"/>
  <c r="F387" i="7" s="1"/>
  <c r="H386" i="7"/>
  <c r="F386" i="7" s="1"/>
  <c r="H385" i="7"/>
  <c r="F385" i="7" s="1"/>
  <c r="H384" i="7"/>
  <c r="F384" i="7" s="1"/>
  <c r="H383" i="7"/>
  <c r="F383" i="7" s="1"/>
  <c r="H382" i="7"/>
  <c r="F382" i="7" s="1"/>
  <c r="D381" i="7"/>
  <c r="H381" i="7" s="1"/>
  <c r="F381" i="7" s="1"/>
  <c r="H380" i="7"/>
  <c r="F380" i="7" s="1"/>
  <c r="D379" i="7"/>
  <c r="H379" i="7" s="1"/>
  <c r="F379" i="7" s="1"/>
  <c r="H378" i="7"/>
  <c r="F378" i="7" s="1"/>
  <c r="H377" i="7"/>
  <c r="F377" i="7" s="1"/>
  <c r="H376" i="7"/>
  <c r="F376" i="7" s="1"/>
  <c r="H375" i="7"/>
  <c r="F375" i="7" s="1"/>
  <c r="H374" i="7"/>
  <c r="F374" i="7" s="1"/>
  <c r="H373" i="7"/>
  <c r="F373" i="7" s="1"/>
  <c r="H372" i="7"/>
  <c r="F372" i="7" s="1"/>
  <c r="H371" i="7"/>
  <c r="F371" i="7" s="1"/>
  <c r="H370" i="7"/>
  <c r="F370" i="7" s="1"/>
  <c r="H369" i="7"/>
  <c r="F369" i="7" s="1"/>
  <c r="H368" i="7"/>
  <c r="F368" i="7" s="1"/>
  <c r="H367" i="7"/>
  <c r="F367" i="7" s="1"/>
  <c r="H366" i="7"/>
  <c r="F366" i="7" s="1"/>
  <c r="H365" i="7"/>
  <c r="F365" i="7" s="1"/>
  <c r="H364" i="7"/>
  <c r="F364" i="7" s="1"/>
  <c r="H363" i="7"/>
  <c r="F363" i="7" s="1"/>
  <c r="H362" i="7"/>
  <c r="F362" i="7" s="1"/>
  <c r="H361" i="7"/>
  <c r="F361" i="7" s="1"/>
  <c r="H360" i="7"/>
  <c r="F360" i="7" s="1"/>
  <c r="H359" i="7"/>
  <c r="F359" i="7" s="1"/>
  <c r="H358" i="7"/>
  <c r="F358" i="7" s="1"/>
  <c r="H357" i="7"/>
  <c r="F357" i="7" s="1"/>
  <c r="H356" i="7"/>
  <c r="F356" i="7" s="1"/>
  <c r="H355" i="7"/>
  <c r="F355" i="7" s="1"/>
  <c r="H354" i="7"/>
  <c r="F354" i="7" s="1"/>
  <c r="H353" i="7"/>
  <c r="F353" i="7" s="1"/>
  <c r="H352" i="7"/>
  <c r="F352" i="7" s="1"/>
  <c r="D351" i="7"/>
  <c r="H351" i="7" s="1"/>
  <c r="F351" i="7" s="1"/>
  <c r="H350" i="7"/>
  <c r="F350" i="7" s="1"/>
  <c r="H349" i="7"/>
  <c r="F349" i="7" s="1"/>
  <c r="D348" i="7"/>
  <c r="H348" i="7" s="1"/>
  <c r="F348" i="7" s="1"/>
  <c r="H347" i="7"/>
  <c r="F347" i="7" s="1"/>
  <c r="D346" i="7"/>
  <c r="H346" i="7" s="1"/>
  <c r="H345" i="7"/>
  <c r="F345" i="7" s="1"/>
  <c r="J343" i="7"/>
  <c r="H341" i="7"/>
  <c r="F341" i="7" s="1"/>
  <c r="H340" i="7"/>
  <c r="F340" i="7" s="1"/>
  <c r="H339" i="7"/>
  <c r="F339" i="7" s="1"/>
  <c r="H338" i="7"/>
  <c r="F338" i="7" s="1"/>
  <c r="H337" i="7"/>
  <c r="F337" i="7" s="1"/>
  <c r="H336" i="7"/>
  <c r="F336" i="7" s="1"/>
  <c r="H335" i="7"/>
  <c r="F335" i="7" s="1"/>
  <c r="D334" i="7"/>
  <c r="H334" i="7" s="1"/>
  <c r="F334" i="7" s="1"/>
  <c r="D333" i="7"/>
  <c r="H333" i="7" s="1"/>
  <c r="F333" i="7" s="1"/>
  <c r="D332" i="7"/>
  <c r="H332" i="7" s="1"/>
  <c r="F332" i="7" s="1"/>
  <c r="D331" i="7"/>
  <c r="D330" i="7"/>
  <c r="H330" i="7" s="1"/>
  <c r="F330" i="7" s="1"/>
  <c r="H329" i="7"/>
  <c r="F329" i="7" s="1"/>
  <c r="H328" i="7"/>
  <c r="F328" i="7" s="1"/>
  <c r="H327" i="7"/>
  <c r="F327" i="7" s="1"/>
  <c r="H326" i="7"/>
  <c r="F326" i="7" s="1"/>
  <c r="D325" i="7"/>
  <c r="H325" i="7" s="1"/>
  <c r="J323" i="7"/>
  <c r="H321" i="7"/>
  <c r="D320" i="7"/>
  <c r="H320" i="7" s="1"/>
  <c r="F320" i="7" s="1"/>
  <c r="H319" i="7"/>
  <c r="F319" i="7" s="1"/>
  <c r="H318" i="7"/>
  <c r="F318" i="7" s="1"/>
  <c r="H317" i="7"/>
  <c r="F317" i="7" s="1"/>
  <c r="H316" i="7"/>
  <c r="F316" i="7" s="1"/>
  <c r="H315" i="7"/>
  <c r="F315" i="7" s="1"/>
  <c r="H314" i="7"/>
  <c r="F314" i="7" s="1"/>
  <c r="H313" i="7"/>
  <c r="F313" i="7" s="1"/>
  <c r="H312" i="7"/>
  <c r="F312" i="7" s="1"/>
  <c r="D311" i="7"/>
  <c r="H311" i="7" s="1"/>
  <c r="F311" i="7" s="1"/>
  <c r="D310" i="7"/>
  <c r="H310" i="7" s="1"/>
  <c r="F310" i="7" s="1"/>
  <c r="D309" i="7"/>
  <c r="H309" i="7" s="1"/>
  <c r="F309" i="7" s="1"/>
  <c r="D308" i="7"/>
  <c r="H308" i="7" s="1"/>
  <c r="F308" i="7" s="1"/>
  <c r="D307" i="7"/>
  <c r="H307" i="7" s="1"/>
  <c r="F307" i="7" s="1"/>
  <c r="H306" i="7"/>
  <c r="F306" i="7" s="1"/>
  <c r="D305" i="7"/>
  <c r="D301" i="7"/>
  <c r="H301" i="7" s="1"/>
  <c r="F301" i="7" s="1"/>
  <c r="D300" i="7"/>
  <c r="H300" i="7" s="1"/>
  <c r="D299" i="7"/>
  <c r="H299" i="7" s="1"/>
  <c r="F299" i="7" s="1"/>
  <c r="D298" i="7"/>
  <c r="D297" i="7"/>
  <c r="H297" i="7" s="1"/>
  <c r="F297" i="7" s="1"/>
  <c r="D296" i="7"/>
  <c r="H296" i="7" s="1"/>
  <c r="F296" i="7" s="1"/>
  <c r="J294" i="7"/>
  <c r="H292" i="7"/>
  <c r="F292" i="7" s="1"/>
  <c r="H291" i="7"/>
  <c r="F291" i="7" s="1"/>
  <c r="H290" i="7"/>
  <c r="F290" i="7" s="1"/>
  <c r="H289" i="7"/>
  <c r="F289" i="7" s="1"/>
  <c r="H288" i="7"/>
  <c r="F288" i="7" s="1"/>
  <c r="H287" i="7"/>
  <c r="F287" i="7" s="1"/>
  <c r="H286" i="7"/>
  <c r="F286" i="7" s="1"/>
  <c r="D285" i="7"/>
  <c r="H285" i="7" s="1"/>
  <c r="F285" i="7" s="1"/>
  <c r="H284" i="7"/>
  <c r="F284" i="7" s="1"/>
  <c r="D283" i="7"/>
  <c r="H283" i="7" s="1"/>
  <c r="F283" i="7" s="1"/>
  <c r="H282" i="7"/>
  <c r="F282" i="7" s="1"/>
  <c r="H281" i="7"/>
  <c r="F281" i="7" s="1"/>
  <c r="H280" i="7"/>
  <c r="F280" i="7" s="1"/>
  <c r="H279" i="7"/>
  <c r="F279" i="7" s="1"/>
  <c r="H278" i="7"/>
  <c r="F278" i="7" s="1"/>
  <c r="H277" i="7"/>
  <c r="F277" i="7" s="1"/>
  <c r="H276" i="7"/>
  <c r="F276" i="7" s="1"/>
  <c r="H275" i="7"/>
  <c r="F275" i="7" s="1"/>
  <c r="H274" i="7"/>
  <c r="F274" i="7" s="1"/>
  <c r="H273" i="7"/>
  <c r="F273" i="7" s="1"/>
  <c r="H272" i="7"/>
  <c r="F272" i="7" s="1"/>
  <c r="H271" i="7"/>
  <c r="F271" i="7" s="1"/>
  <c r="H270" i="7"/>
  <c r="F270" i="7" s="1"/>
  <c r="H269" i="7"/>
  <c r="F269" i="7" s="1"/>
  <c r="D268" i="7"/>
  <c r="H268" i="7" s="1"/>
  <c r="F268" i="7" s="1"/>
  <c r="H267" i="7"/>
  <c r="F267" i="7" s="1"/>
  <c r="D266" i="7"/>
  <c r="H266" i="7" s="1"/>
  <c r="F266" i="7" s="1"/>
  <c r="D265" i="7"/>
  <c r="D264" i="7"/>
  <c r="H264" i="7" s="1"/>
  <c r="F264" i="7" s="1"/>
  <c r="H263" i="7"/>
  <c r="F263" i="7" s="1"/>
  <c r="D262" i="7"/>
  <c r="H262" i="7" s="1"/>
  <c r="J260" i="7"/>
  <c r="D258" i="7"/>
  <c r="H258" i="7" s="1"/>
  <c r="F258" i="7" s="1"/>
  <c r="D257" i="7"/>
  <c r="H257" i="7" s="1"/>
  <c r="F257" i="7" s="1"/>
  <c r="H256" i="7"/>
  <c r="F256" i="7" s="1"/>
  <c r="H255" i="7"/>
  <c r="F255" i="7" s="1"/>
  <c r="H254" i="7"/>
  <c r="F254" i="7" s="1"/>
  <c r="H253" i="7"/>
  <c r="F253" i="7" s="1"/>
  <c r="H252" i="7"/>
  <c r="F252" i="7" s="1"/>
  <c r="H251" i="7"/>
  <c r="F251" i="7" s="1"/>
  <c r="H250" i="7"/>
  <c r="F250" i="7" s="1"/>
  <c r="H249" i="7"/>
  <c r="F249" i="7" s="1"/>
  <c r="H248" i="7"/>
  <c r="F248" i="7" s="1"/>
  <c r="H247" i="7"/>
  <c r="F247" i="7" s="1"/>
  <c r="H246" i="7"/>
  <c r="F246" i="7" s="1"/>
  <c r="H245" i="7"/>
  <c r="F245" i="7" s="1"/>
  <c r="H244" i="7"/>
  <c r="F244" i="7" s="1"/>
  <c r="H243" i="7"/>
  <c r="F243" i="7" s="1"/>
  <c r="H242" i="7"/>
  <c r="F242" i="7" s="1"/>
  <c r="H241" i="7"/>
  <c r="F241" i="7" s="1"/>
  <c r="H240" i="7"/>
  <c r="F240" i="7" s="1"/>
  <c r="H239" i="7"/>
  <c r="F239" i="7" s="1"/>
  <c r="H238" i="7"/>
  <c r="F238" i="7" s="1"/>
  <c r="H237" i="7"/>
  <c r="F237" i="7" s="1"/>
  <c r="D236" i="7"/>
  <c r="H236" i="7" s="1"/>
  <c r="F236" i="7" s="1"/>
  <c r="D235" i="7"/>
  <c r="H235" i="7" s="1"/>
  <c r="F235" i="7" s="1"/>
  <c r="H234" i="7"/>
  <c r="F234" i="7" s="1"/>
  <c r="D233" i="7"/>
  <c r="H233" i="7" s="1"/>
  <c r="F233" i="7" s="1"/>
  <c r="D232" i="7"/>
  <c r="H232" i="7" s="1"/>
  <c r="F232" i="7" s="1"/>
  <c r="D231" i="7"/>
  <c r="H231" i="7" s="1"/>
  <c r="F231" i="7" s="1"/>
  <c r="H230" i="7"/>
  <c r="F230" i="7" s="1"/>
  <c r="H229" i="7"/>
  <c r="F229" i="7" s="1"/>
  <c r="H228" i="7"/>
  <c r="F228" i="7" s="1"/>
  <c r="H227" i="7"/>
  <c r="F227" i="7" s="1"/>
  <c r="H226" i="7"/>
  <c r="F226" i="7" s="1"/>
  <c r="D225" i="7"/>
  <c r="H225" i="7" s="1"/>
  <c r="F225" i="7" s="1"/>
  <c r="D224" i="7"/>
  <c r="H224" i="7" s="1"/>
  <c r="F224" i="7" s="1"/>
  <c r="D223" i="7"/>
  <c r="H223" i="7" s="1"/>
  <c r="F223" i="7" s="1"/>
  <c r="J221" i="7"/>
  <c r="H219" i="7"/>
  <c r="F219" i="7" s="1"/>
  <c r="H218" i="7"/>
  <c r="F218" i="7" s="1"/>
  <c r="H217" i="7"/>
  <c r="F217" i="7" s="1"/>
  <c r="H216" i="7"/>
  <c r="F216" i="7" s="1"/>
  <c r="H215" i="7"/>
  <c r="F215" i="7" s="1"/>
  <c r="D214" i="7"/>
  <c r="H214" i="7" s="1"/>
  <c r="F214" i="7" s="1"/>
  <c r="D213" i="7"/>
  <c r="H213" i="7" s="1"/>
  <c r="F213" i="7" s="1"/>
  <c r="D212" i="7"/>
  <c r="H211" i="7"/>
  <c r="J209" i="7"/>
  <c r="H207" i="7"/>
  <c r="F207" i="7" s="1"/>
  <c r="D206" i="7"/>
  <c r="H206" i="7" s="1"/>
  <c r="F206" i="7" s="1"/>
  <c r="D205" i="7"/>
  <c r="H205" i="7" s="1"/>
  <c r="F205" i="7" s="1"/>
  <c r="D204" i="7"/>
  <c r="H204" i="7" s="1"/>
  <c r="F204" i="7" s="1"/>
  <c r="D203" i="7"/>
  <c r="H203" i="7" s="1"/>
  <c r="J199" i="7"/>
  <c r="H197" i="7"/>
  <c r="F197" i="7" s="1"/>
  <c r="H196" i="7"/>
  <c r="F196" i="7" s="1"/>
  <c r="D195" i="7"/>
  <c r="H195" i="7" s="1"/>
  <c r="F195" i="7" s="1"/>
  <c r="H194" i="7"/>
  <c r="F194" i="7" s="1"/>
  <c r="H193" i="7"/>
  <c r="F193" i="7" s="1"/>
  <c r="D192" i="7"/>
  <c r="H192" i="7" s="1"/>
  <c r="F192" i="7" s="1"/>
  <c r="H191" i="7"/>
  <c r="F191" i="7" s="1"/>
  <c r="D190" i="7"/>
  <c r="H190" i="7" s="1"/>
  <c r="F190" i="7" s="1"/>
  <c r="H189" i="7"/>
  <c r="F189" i="7" s="1"/>
  <c r="H188" i="7"/>
  <c r="F188" i="7" s="1"/>
  <c r="H187" i="7"/>
  <c r="F187" i="7" s="1"/>
  <c r="D186" i="7"/>
  <c r="H186" i="7" s="1"/>
  <c r="F186" i="7" s="1"/>
  <c r="D185" i="7"/>
  <c r="H185" i="7" s="1"/>
  <c r="F185" i="7" s="1"/>
  <c r="D184" i="7"/>
  <c r="H184" i="7" s="1"/>
  <c r="F184" i="7" s="1"/>
  <c r="J181" i="7"/>
  <c r="D181" i="7"/>
  <c r="H179" i="7"/>
  <c r="F179" i="7" s="1"/>
  <c r="H178" i="7"/>
  <c r="F178" i="7" s="1"/>
  <c r="H177" i="7"/>
  <c r="F177" i="7" s="1"/>
  <c r="H176" i="7"/>
  <c r="F176" i="7" s="1"/>
  <c r="J174" i="7"/>
  <c r="D172" i="7"/>
  <c r="H172" i="7" s="1"/>
  <c r="F172" i="7" s="1"/>
  <c r="H171" i="7"/>
  <c r="F171" i="7" s="1"/>
  <c r="H170" i="7"/>
  <c r="F170" i="7" s="1"/>
  <c r="D169" i="7"/>
  <c r="H169" i="7" s="1"/>
  <c r="J167" i="7"/>
  <c r="D165" i="7"/>
  <c r="H165" i="7" s="1"/>
  <c r="F165" i="7" s="1"/>
  <c r="D164" i="7"/>
  <c r="H164" i="7" s="1"/>
  <c r="F164" i="7" s="1"/>
  <c r="D163" i="7"/>
  <c r="H163" i="7" s="1"/>
  <c r="F163" i="7" s="1"/>
  <c r="D162" i="7"/>
  <c r="H162" i="7" s="1"/>
  <c r="F162" i="7" s="1"/>
  <c r="D161" i="7"/>
  <c r="H161" i="7" s="1"/>
  <c r="F161" i="7" s="1"/>
  <c r="D160" i="7"/>
  <c r="H160" i="7" s="1"/>
  <c r="F160" i="7" s="1"/>
  <c r="D159" i="7"/>
  <c r="H159" i="7" s="1"/>
  <c r="F159" i="7" s="1"/>
  <c r="D158" i="7"/>
  <c r="H158" i="7" s="1"/>
  <c r="F158" i="7" s="1"/>
  <c r="D157" i="7"/>
  <c r="H157" i="7" s="1"/>
  <c r="F157" i="7" s="1"/>
  <c r="D156" i="7"/>
  <c r="H156" i="7" s="1"/>
  <c r="F156" i="7" s="1"/>
  <c r="J154" i="7"/>
  <c r="H152" i="7"/>
  <c r="F152" i="7" s="1"/>
  <c r="H151" i="7"/>
  <c r="F151" i="7" s="1"/>
  <c r="H150" i="7"/>
  <c r="F150" i="7" s="1"/>
  <c r="H149" i="7"/>
  <c r="F149" i="7" s="1"/>
  <c r="H148" i="7"/>
  <c r="F148" i="7" s="1"/>
  <c r="H147" i="7"/>
  <c r="F147" i="7" s="1"/>
  <c r="H146" i="7"/>
  <c r="F146" i="7" s="1"/>
  <c r="H145" i="7"/>
  <c r="F145" i="7" s="1"/>
  <c r="D144" i="7"/>
  <c r="H144" i="7" s="1"/>
  <c r="F144" i="7" s="1"/>
  <c r="D143" i="7"/>
  <c r="H143" i="7" s="1"/>
  <c r="F143" i="7" s="1"/>
  <c r="D142" i="7"/>
  <c r="H142" i="7" s="1"/>
  <c r="F142" i="7" s="1"/>
  <c r="D141" i="7"/>
  <c r="H141" i="7" s="1"/>
  <c r="F141" i="7" s="1"/>
  <c r="D140" i="7"/>
  <c r="H140" i="7" s="1"/>
  <c r="F140" i="7" s="1"/>
  <c r="D139" i="7"/>
  <c r="H139" i="7" s="1"/>
  <c r="F139" i="7" s="1"/>
  <c r="D138" i="7"/>
  <c r="H138" i="7" s="1"/>
  <c r="J136" i="7"/>
  <c r="H134" i="7"/>
  <c r="F134" i="7" s="1"/>
  <c r="H133" i="7"/>
  <c r="F133" i="7" s="1"/>
  <c r="H132" i="7"/>
  <c r="F132" i="7" s="1"/>
  <c r="H131" i="7"/>
  <c r="F131" i="7" s="1"/>
  <c r="H130" i="7"/>
  <c r="F130" i="7" s="1"/>
  <c r="H129" i="7"/>
  <c r="F129" i="7" s="1"/>
  <c r="H128" i="7"/>
  <c r="F128" i="7" s="1"/>
  <c r="H127" i="7"/>
  <c r="F127" i="7" s="1"/>
  <c r="H126" i="7"/>
  <c r="F126" i="7" s="1"/>
  <c r="H125" i="7"/>
  <c r="F125" i="7" s="1"/>
  <c r="D124" i="7"/>
  <c r="H124" i="7" s="1"/>
  <c r="F124" i="7" s="1"/>
  <c r="D123" i="7"/>
  <c r="H123" i="7" s="1"/>
  <c r="F123" i="7" s="1"/>
  <c r="D122" i="7"/>
  <c r="H122" i="7" s="1"/>
  <c r="F122" i="7" s="1"/>
  <c r="D121" i="7"/>
  <c r="H121" i="7" s="1"/>
  <c r="F121" i="7" s="1"/>
  <c r="D120" i="7"/>
  <c r="D119" i="7"/>
  <c r="H119" i="7" s="1"/>
  <c r="F119" i="7" s="1"/>
  <c r="J117" i="7"/>
  <c r="H115" i="7"/>
  <c r="F115" i="7" s="1"/>
  <c r="H114" i="7"/>
  <c r="H113" i="7"/>
  <c r="F113" i="7" s="1"/>
  <c r="H112" i="7"/>
  <c r="F112" i="7" s="1"/>
  <c r="H111" i="7"/>
  <c r="F111" i="7" s="1"/>
  <c r="H110" i="7"/>
  <c r="F110" i="7" s="1"/>
  <c r="H109" i="7"/>
  <c r="F109" i="7" s="1"/>
  <c r="H108" i="7"/>
  <c r="F108" i="7" s="1"/>
  <c r="H107" i="7"/>
  <c r="F107" i="7" s="1"/>
  <c r="D106" i="7"/>
  <c r="H106" i="7" s="1"/>
  <c r="F106" i="7" s="1"/>
  <c r="H105" i="7"/>
  <c r="F105" i="7" s="1"/>
  <c r="H104" i="7"/>
  <c r="F104" i="7" s="1"/>
  <c r="H103" i="7"/>
  <c r="J101" i="7"/>
  <c r="H99" i="7"/>
  <c r="F99" i="7" s="1"/>
  <c r="H98" i="7"/>
  <c r="F98" i="7" s="1"/>
  <c r="H97" i="7"/>
  <c r="F97" i="7" s="1"/>
  <c r="H96" i="7"/>
  <c r="F96" i="7" s="1"/>
  <c r="H95" i="7"/>
  <c r="F95" i="7" s="1"/>
  <c r="H94" i="7"/>
  <c r="F94" i="7" s="1"/>
  <c r="H93" i="7"/>
  <c r="F93" i="7" s="1"/>
  <c r="D92" i="7"/>
  <c r="H92" i="7" s="1"/>
  <c r="F92" i="7" s="1"/>
  <c r="H91" i="7"/>
  <c r="F91" i="7" s="1"/>
  <c r="H90" i="7"/>
  <c r="F90" i="7" s="1"/>
  <c r="D89" i="7"/>
  <c r="H89" i="7" s="1"/>
  <c r="F89" i="7" s="1"/>
  <c r="D88" i="7"/>
  <c r="H88" i="7" s="1"/>
  <c r="F88" i="7" s="1"/>
  <c r="H87" i="7"/>
  <c r="F87" i="7" s="1"/>
  <c r="D86" i="7"/>
  <c r="H86" i="7" s="1"/>
  <c r="F86" i="7" s="1"/>
  <c r="D85" i="7"/>
  <c r="H85" i="7" s="1"/>
  <c r="J83" i="7"/>
  <c r="H81" i="7"/>
  <c r="F81" i="7" s="1"/>
  <c r="H80" i="7"/>
  <c r="F80" i="7" s="1"/>
  <c r="H79" i="7"/>
  <c r="F79" i="7" s="1"/>
  <c r="H78" i="7"/>
  <c r="F78" i="7" s="1"/>
  <c r="H77" i="7"/>
  <c r="F77" i="7" s="1"/>
  <c r="H76" i="7"/>
  <c r="F76" i="7" s="1"/>
  <c r="H75" i="7"/>
  <c r="F75" i="7" s="1"/>
  <c r="H74" i="7"/>
  <c r="F74" i="7" s="1"/>
  <c r="H73" i="7"/>
  <c r="F73" i="7" s="1"/>
  <c r="H72" i="7"/>
  <c r="F72" i="7" s="1"/>
  <c r="H71" i="7"/>
  <c r="F71" i="7" s="1"/>
  <c r="H70" i="7"/>
  <c r="F70" i="7" s="1"/>
  <c r="D69" i="7"/>
  <c r="H69" i="7" s="1"/>
  <c r="F69" i="7" s="1"/>
  <c r="D68" i="7"/>
  <c r="H68" i="7" s="1"/>
  <c r="F68" i="7" s="1"/>
  <c r="D67" i="7"/>
  <c r="H67" i="7" s="1"/>
  <c r="F67" i="7" s="1"/>
  <c r="D66" i="7"/>
  <c r="H66" i="7" s="1"/>
  <c r="F66" i="7" s="1"/>
  <c r="D65" i="7"/>
  <c r="H65" i="7" s="1"/>
  <c r="F65" i="7" s="1"/>
  <c r="D64" i="7"/>
  <c r="H64" i="7" s="1"/>
  <c r="F64" i="7" s="1"/>
  <c r="D63" i="7"/>
  <c r="H63" i="7" s="1"/>
  <c r="F63" i="7" s="1"/>
  <c r="D62" i="7"/>
  <c r="H62" i="7" s="1"/>
  <c r="F62" i="7" s="1"/>
  <c r="D61" i="7"/>
  <c r="H61" i="7" s="1"/>
  <c r="F61" i="7" s="1"/>
  <c r="J59" i="7"/>
  <c r="D59" i="7"/>
  <c r="H57" i="7"/>
  <c r="H59" i="7" s="1"/>
  <c r="J53" i="7"/>
  <c r="H53" i="7" s="1"/>
  <c r="F53" i="7" s="1"/>
  <c r="H52" i="7"/>
  <c r="F52" i="7" s="1"/>
  <c r="H51" i="7"/>
  <c r="F51" i="7" s="1"/>
  <c r="H50" i="7"/>
  <c r="F50" i="7" s="1"/>
  <c r="H49" i="7"/>
  <c r="F49" i="7" s="1"/>
  <c r="D48" i="7"/>
  <c r="H48" i="7" s="1"/>
  <c r="F48" i="7" s="1"/>
  <c r="D47" i="7"/>
  <c r="H47" i="7" s="1"/>
  <c r="F47" i="7" s="1"/>
  <c r="D46" i="7"/>
  <c r="H46" i="7" s="1"/>
  <c r="F46" i="7" s="1"/>
  <c r="J44" i="7"/>
  <c r="H42" i="7"/>
  <c r="F42" i="7" s="1"/>
  <c r="H41" i="7"/>
  <c r="F41" i="7" s="1"/>
  <c r="H40" i="7"/>
  <c r="F40" i="7" s="1"/>
  <c r="H39" i="7"/>
  <c r="F39" i="7" s="1"/>
  <c r="D37" i="7"/>
  <c r="H37" i="7" s="1"/>
  <c r="F37" i="7" s="1"/>
  <c r="D36" i="7"/>
  <c r="H36" i="7" s="1"/>
  <c r="F36" i="7" s="1"/>
  <c r="J34" i="7"/>
  <c r="H32" i="7"/>
  <c r="F32" i="7" s="1"/>
  <c r="H31" i="7"/>
  <c r="H30" i="7"/>
  <c r="F30" i="7" s="1"/>
  <c r="H29" i="7"/>
  <c r="F29" i="7" s="1"/>
  <c r="H28" i="7"/>
  <c r="F28" i="7" s="1"/>
  <c r="H27" i="7"/>
  <c r="F27" i="7" s="1"/>
  <c r="H26" i="7"/>
  <c r="F26" i="7" s="1"/>
  <c r="H25" i="7"/>
  <c r="F25" i="7" s="1"/>
  <c r="H24" i="7"/>
  <c r="F24" i="7" s="1"/>
  <c r="H23" i="7"/>
  <c r="F23" i="7" s="1"/>
  <c r="D22" i="7"/>
  <c r="H22" i="7" s="1"/>
  <c r="F22" i="7" s="1"/>
  <c r="H21" i="7"/>
  <c r="F21" i="7" s="1"/>
  <c r="D20" i="7"/>
  <c r="H20" i="7" s="1"/>
  <c r="F20" i="7" s="1"/>
  <c r="D19" i="7"/>
  <c r="H19" i="7" s="1"/>
  <c r="F19" i="7" s="1"/>
  <c r="H18" i="7"/>
  <c r="F18" i="7" s="1"/>
  <c r="D17" i="7"/>
  <c r="H16" i="7"/>
  <c r="J14" i="7"/>
  <c r="D12" i="7"/>
  <c r="H12" i="7" s="1"/>
  <c r="F12" i="7" s="1"/>
  <c r="H11" i="7"/>
  <c r="F11" i="7" s="1"/>
  <c r="H10" i="7"/>
  <c r="F10" i="7" s="1"/>
  <c r="H9" i="7"/>
  <c r="F9" i="7" s="1"/>
  <c r="H8" i="7"/>
  <c r="H7" i="7"/>
  <c r="F7" i="7" s="1"/>
  <c r="H6" i="7"/>
  <c r="F6" i="7" s="1"/>
  <c r="D5" i="7"/>
  <c r="H5" i="7" s="1"/>
  <c r="F5" i="7" s="1"/>
  <c r="H4" i="7"/>
  <c r="L184" i="8" l="1"/>
  <c r="N184" i="8"/>
  <c r="P204" i="8"/>
  <c r="P546" i="8" s="1"/>
  <c r="P572" i="8" s="1"/>
  <c r="H119" i="8"/>
  <c r="F119" i="8" s="1"/>
  <c r="N119" i="8"/>
  <c r="L119" i="8" s="1"/>
  <c r="F227" i="8"/>
  <c r="H264" i="8"/>
  <c r="F36" i="8"/>
  <c r="H44" i="8"/>
  <c r="F186" i="8"/>
  <c r="H202" i="8"/>
  <c r="L227" i="8"/>
  <c r="N264" i="8"/>
  <c r="L264" i="8" s="1"/>
  <c r="L36" i="8"/>
  <c r="N44" i="8"/>
  <c r="L44" i="8" s="1"/>
  <c r="F62" i="8"/>
  <c r="N14" i="8"/>
  <c r="L14" i="8" s="1"/>
  <c r="H34" i="8"/>
  <c r="F34" i="8" s="1"/>
  <c r="H46" i="8"/>
  <c r="H177" i="8"/>
  <c r="F177" i="8" s="1"/>
  <c r="H308" i="8"/>
  <c r="F308" i="8" s="1"/>
  <c r="F301" i="8"/>
  <c r="H314" i="8"/>
  <c r="F314" i="8" s="1"/>
  <c r="N102" i="8"/>
  <c r="L102" i="8" s="1"/>
  <c r="H140" i="8"/>
  <c r="D202" i="8"/>
  <c r="D204" i="8" s="1"/>
  <c r="N225" i="8"/>
  <c r="L225" i="8" s="1"/>
  <c r="N308" i="8"/>
  <c r="L308" i="8" s="1"/>
  <c r="L301" i="8"/>
  <c r="H60" i="8"/>
  <c r="F60" i="8" s="1"/>
  <c r="J84" i="8"/>
  <c r="H121" i="8"/>
  <c r="F214" i="8"/>
  <c r="J264" i="8"/>
  <c r="H267" i="8"/>
  <c r="F267" i="8" s="1"/>
  <c r="H269" i="8"/>
  <c r="F269" i="8" s="1"/>
  <c r="H271" i="8"/>
  <c r="F271" i="8" s="1"/>
  <c r="H273" i="8"/>
  <c r="F273" i="8" s="1"/>
  <c r="L404" i="8"/>
  <c r="N34" i="8"/>
  <c r="L34" i="8" s="1"/>
  <c r="D44" i="8"/>
  <c r="N46" i="8"/>
  <c r="F104" i="8"/>
  <c r="N402" i="8"/>
  <c r="L402" i="8" s="1"/>
  <c r="H569" i="8"/>
  <c r="H581" i="8"/>
  <c r="F581" i="8" s="1"/>
  <c r="N581" i="8"/>
  <c r="L581" i="8" s="1"/>
  <c r="H4" i="8"/>
  <c r="N84" i="8"/>
  <c r="L84" i="8" s="1"/>
  <c r="N140" i="8"/>
  <c r="H316" i="8"/>
  <c r="F316" i="8" s="1"/>
  <c r="H352" i="8"/>
  <c r="F352" i="8" s="1"/>
  <c r="N544" i="8"/>
  <c r="N60" i="8"/>
  <c r="L60" i="8" s="1"/>
  <c r="D119" i="8"/>
  <c r="N121" i="8"/>
  <c r="H206" i="8"/>
  <c r="J328" i="8"/>
  <c r="J402" i="8"/>
  <c r="N352" i="8"/>
  <c r="L352" i="8" s="1"/>
  <c r="J44" i="8"/>
  <c r="J204" i="8" s="1"/>
  <c r="N202" i="8"/>
  <c r="D517" i="8"/>
  <c r="L569" i="8"/>
  <c r="H73" i="8"/>
  <c r="F73" i="8" s="1"/>
  <c r="D474" i="8"/>
  <c r="J517" i="8"/>
  <c r="H544" i="8"/>
  <c r="F528" i="8"/>
  <c r="L549" i="8"/>
  <c r="N552" i="8"/>
  <c r="L552" i="8" s="1"/>
  <c r="N299" i="8"/>
  <c r="L299" i="8" s="1"/>
  <c r="H17" i="8"/>
  <c r="F17" i="8" s="1"/>
  <c r="H86" i="8"/>
  <c r="N206" i="8"/>
  <c r="H215" i="8"/>
  <c r="F215" i="8" s="1"/>
  <c r="H266" i="8"/>
  <c r="H474" i="8"/>
  <c r="F474" i="8" s="1"/>
  <c r="H477" i="8"/>
  <c r="F477" i="8" s="1"/>
  <c r="H579" i="8"/>
  <c r="F579" i="8" s="1"/>
  <c r="L330" i="8"/>
  <c r="N349" i="8"/>
  <c r="L349" i="8" s="1"/>
  <c r="H583" i="8"/>
  <c r="F583" i="8" s="1"/>
  <c r="N583" i="8"/>
  <c r="L583" i="8" s="1"/>
  <c r="H158" i="8"/>
  <c r="L266" i="8"/>
  <c r="H354" i="8"/>
  <c r="F354" i="8" s="1"/>
  <c r="N354" i="8"/>
  <c r="L354" i="8" s="1"/>
  <c r="L414" i="8"/>
  <c r="N445" i="8"/>
  <c r="L445" i="8" s="1"/>
  <c r="L452" i="8"/>
  <c r="H310" i="8"/>
  <c r="J349" i="8"/>
  <c r="F519" i="8"/>
  <c r="H575" i="8"/>
  <c r="H577" i="8"/>
  <c r="F577" i="8" s="1"/>
  <c r="H624" i="8"/>
  <c r="F624" i="8" s="1"/>
  <c r="H627" i="8"/>
  <c r="F627" i="8" s="1"/>
  <c r="D402" i="8"/>
  <c r="J445" i="8"/>
  <c r="F454" i="8"/>
  <c r="H405" i="8"/>
  <c r="F405" i="8" s="1"/>
  <c r="H414" i="8"/>
  <c r="H509" i="8"/>
  <c r="F509" i="8" s="1"/>
  <c r="L519" i="8"/>
  <c r="N310" i="8"/>
  <c r="H330" i="8"/>
  <c r="H402" i="8"/>
  <c r="F556" i="8"/>
  <c r="N575" i="8"/>
  <c r="D308" i="8"/>
  <c r="H476" i="8"/>
  <c r="N405" i="8"/>
  <c r="L405" i="8" s="1"/>
  <c r="F447" i="8"/>
  <c r="N454" i="8"/>
  <c r="L351" i="8"/>
  <c r="D544" i="8"/>
  <c r="H552" i="8"/>
  <c r="F552" i="8" s="1"/>
  <c r="J308" i="8"/>
  <c r="H412" i="8"/>
  <c r="F412" i="8" s="1"/>
  <c r="L447" i="8"/>
  <c r="N476" i="8"/>
  <c r="D569" i="8"/>
  <c r="F59" i="7"/>
  <c r="H543" i="7"/>
  <c r="F543" i="7" s="1"/>
  <c r="J55" i="7"/>
  <c r="J201" i="7" s="1"/>
  <c r="J537" i="7" s="1"/>
  <c r="J559" i="7" s="1"/>
  <c r="N559" i="7" s="1"/>
  <c r="N561" i="7" s="1"/>
  <c r="N563" i="7" s="1"/>
  <c r="D44" i="7"/>
  <c r="H38" i="7"/>
  <c r="F38" i="7" s="1"/>
  <c r="D294" i="7"/>
  <c r="H265" i="7"/>
  <c r="F265" i="7" s="1"/>
  <c r="D535" i="7"/>
  <c r="D557" i="7"/>
  <c r="M560" i="7" s="1"/>
  <c r="H519" i="7"/>
  <c r="F519" i="7" s="1"/>
  <c r="D55" i="7"/>
  <c r="D221" i="7"/>
  <c r="F541" i="7"/>
  <c r="H55" i="7"/>
  <c r="D323" i="7"/>
  <c r="D34" i="7"/>
  <c r="D136" i="7"/>
  <c r="D199" i="7"/>
  <c r="F57" i="7"/>
  <c r="H183" i="7"/>
  <c r="F183" i="7" s="1"/>
  <c r="D117" i="7"/>
  <c r="H120" i="7"/>
  <c r="D167" i="7"/>
  <c r="D174" i="7"/>
  <c r="H83" i="7"/>
  <c r="F83" i="7" s="1"/>
  <c r="F325" i="7"/>
  <c r="F16" i="7"/>
  <c r="D303" i="7"/>
  <c r="H298" i="7"/>
  <c r="F298" i="7" s="1"/>
  <c r="D438" i="7"/>
  <c r="H517" i="7"/>
  <c r="F517" i="7" s="1"/>
  <c r="F211" i="7"/>
  <c r="H260" i="7"/>
  <c r="F260" i="7" s="1"/>
  <c r="F442" i="7"/>
  <c r="H444" i="7"/>
  <c r="F444" i="7" s="1"/>
  <c r="F468" i="7"/>
  <c r="H508" i="7"/>
  <c r="F508" i="7" s="1"/>
  <c r="D83" i="7"/>
  <c r="H17" i="7"/>
  <c r="F17" i="7" s="1"/>
  <c r="D209" i="7"/>
  <c r="H154" i="7"/>
  <c r="F154" i="7" s="1"/>
  <c r="H167" i="7"/>
  <c r="F167" i="7" s="1"/>
  <c r="H209" i="7"/>
  <c r="F209" i="7" s="1"/>
  <c r="F138" i="7"/>
  <c r="H212" i="7"/>
  <c r="F212" i="7" s="1"/>
  <c r="D260" i="7"/>
  <c r="D395" i="7"/>
  <c r="H466" i="7"/>
  <c r="F466" i="7" s="1"/>
  <c r="F446" i="7"/>
  <c r="F262" i="7"/>
  <c r="D101" i="7"/>
  <c r="H395" i="7"/>
  <c r="F395" i="7" s="1"/>
  <c r="H101" i="7"/>
  <c r="F101" i="7" s="1"/>
  <c r="D154" i="7"/>
  <c r="H174" i="7"/>
  <c r="F174" i="7" s="1"/>
  <c r="F570" i="7"/>
  <c r="F397" i="7"/>
  <c r="D466" i="7"/>
  <c r="D623" i="7"/>
  <c r="F4" i="7"/>
  <c r="H14" i="7"/>
  <c r="F14" i="7" s="1"/>
  <c r="D14" i="7"/>
  <c r="H117" i="7"/>
  <c r="F117" i="7" s="1"/>
  <c r="D343" i="7"/>
  <c r="H331" i="7"/>
  <c r="F331" i="7" s="1"/>
  <c r="H398" i="7"/>
  <c r="F398" i="7" s="1"/>
  <c r="D405" i="7"/>
  <c r="F545" i="7"/>
  <c r="H557" i="7"/>
  <c r="D508" i="7"/>
  <c r="H535" i="7"/>
  <c r="H305" i="7"/>
  <c r="H410" i="7"/>
  <c r="F410" i="7" s="1"/>
  <c r="H571" i="7"/>
  <c r="F571" i="7" s="1"/>
  <c r="F85" i="7"/>
  <c r="F169" i="7"/>
  <c r="H181" i="7"/>
  <c r="F181" i="7" s="1"/>
  <c r="F203" i="7"/>
  <c r="F510" i="7"/>
  <c r="F346" i="7"/>
  <c r="J546" i="8" l="1"/>
  <c r="J572" i="8" s="1"/>
  <c r="J554" i="8"/>
  <c r="H517" i="8"/>
  <c r="F517" i="8" s="1"/>
  <c r="F476" i="8"/>
  <c r="F544" i="8"/>
  <c r="F414" i="8"/>
  <c r="H445" i="8"/>
  <c r="F445" i="8" s="1"/>
  <c r="H212" i="8"/>
  <c r="F212" i="8" s="1"/>
  <c r="F206" i="8"/>
  <c r="F569" i="8"/>
  <c r="N629" i="8"/>
  <c r="L629" i="8" s="1"/>
  <c r="L575" i="8"/>
  <c r="H299" i="8"/>
  <c r="F299" i="8" s="1"/>
  <c r="F266" i="8"/>
  <c r="N138" i="8"/>
  <c r="L138" i="8" s="1"/>
  <c r="L121" i="8"/>
  <c r="F202" i="8"/>
  <c r="H138" i="8"/>
  <c r="F138" i="8" s="1"/>
  <c r="F121" i="8"/>
  <c r="N517" i="8"/>
  <c r="L517" i="8" s="1"/>
  <c r="L476" i="8"/>
  <c r="F402" i="8"/>
  <c r="L206" i="8"/>
  <c r="N212" i="8"/>
  <c r="L212" i="8" s="1"/>
  <c r="N55" i="8"/>
  <c r="L55" i="8" s="1"/>
  <c r="L46" i="8"/>
  <c r="F46" i="8"/>
  <c r="H55" i="8"/>
  <c r="F55" i="8" s="1"/>
  <c r="F44" i="8"/>
  <c r="F330" i="8"/>
  <c r="H349" i="8"/>
  <c r="F349" i="8" s="1"/>
  <c r="H102" i="8"/>
  <c r="F102" i="8" s="1"/>
  <c r="F86" i="8"/>
  <c r="F158" i="8"/>
  <c r="H170" i="8"/>
  <c r="F170" i="8" s="1"/>
  <c r="H629" i="8"/>
  <c r="F629" i="8" s="1"/>
  <c r="F575" i="8"/>
  <c r="L544" i="8"/>
  <c r="L310" i="8"/>
  <c r="N328" i="8"/>
  <c r="L328" i="8" s="1"/>
  <c r="F264" i="8"/>
  <c r="D546" i="8"/>
  <c r="D554" i="8"/>
  <c r="L202" i="8"/>
  <c r="H84" i="8"/>
  <c r="F84" i="8" s="1"/>
  <c r="H328" i="8"/>
  <c r="F328" i="8" s="1"/>
  <c r="F310" i="8"/>
  <c r="N156" i="8"/>
  <c r="L156" i="8" s="1"/>
  <c r="L140" i="8"/>
  <c r="N412" i="8"/>
  <c r="L412" i="8" s="1"/>
  <c r="H225" i="8"/>
  <c r="F225" i="8" s="1"/>
  <c r="L454" i="8"/>
  <c r="N474" i="8"/>
  <c r="L474" i="8" s="1"/>
  <c r="H14" i="8"/>
  <c r="F14" i="8" s="1"/>
  <c r="F4" i="8"/>
  <c r="H156" i="8"/>
  <c r="F156" i="8" s="1"/>
  <c r="F140" i="8"/>
  <c r="H294" i="7"/>
  <c r="F294" i="7" s="1"/>
  <c r="H199" i="7"/>
  <c r="F199" i="7" s="1"/>
  <c r="H405" i="7"/>
  <c r="F405" i="7" s="1"/>
  <c r="H438" i="7"/>
  <c r="F438" i="7" s="1"/>
  <c r="H623" i="7"/>
  <c r="F623" i="7" s="1"/>
  <c r="D201" i="7"/>
  <c r="D537" i="7" s="1"/>
  <c r="D563" i="7" s="1"/>
  <c r="F55" i="7"/>
  <c r="H221" i="7"/>
  <c r="F221" i="7" s="1"/>
  <c r="H136" i="7"/>
  <c r="F136" i="7" s="1"/>
  <c r="F120" i="7"/>
  <c r="H44" i="7"/>
  <c r="F44" i="7" s="1"/>
  <c r="F535" i="7"/>
  <c r="J563" i="7"/>
  <c r="N558" i="7"/>
  <c r="H34" i="7"/>
  <c r="F34" i="7" s="1"/>
  <c r="H303" i="7"/>
  <c r="F303" i="7" s="1"/>
  <c r="H343" i="7"/>
  <c r="F343" i="7" s="1"/>
  <c r="F557" i="7"/>
  <c r="H323" i="7"/>
  <c r="F323" i="7" s="1"/>
  <c r="F305" i="7"/>
  <c r="D572" i="8" l="1"/>
  <c r="H554" i="8"/>
  <c r="F554" i="8" s="1"/>
  <c r="N204" i="8"/>
  <c r="L204" i="8" s="1"/>
  <c r="H204" i="8"/>
  <c r="F204" i="8" s="1"/>
  <c r="H546" i="8"/>
  <c r="D559" i="7"/>
  <c r="M559" i="7" s="1"/>
  <c r="M561" i="7" s="1"/>
  <c r="M558" i="7"/>
  <c r="H201" i="7"/>
  <c r="F201" i="7" s="1"/>
  <c r="D567" i="7"/>
  <c r="H563" i="7"/>
  <c r="H567" i="7" s="1"/>
  <c r="F546" i="8" l="1"/>
  <c r="H572" i="8"/>
  <c r="F572" i="8" s="1"/>
  <c r="N546" i="8"/>
  <c r="H537" i="7"/>
  <c r="L546" i="8" l="1"/>
  <c r="N572" i="8"/>
  <c r="L572" i="8" s="1"/>
  <c r="F537" i="7"/>
  <c r="H559" i="7"/>
  <c r="F559" i="7" s="1"/>
  <c r="D12" i="2" l="1"/>
  <c r="H580" i="1"/>
  <c r="N575" i="1" l="1"/>
  <c r="D391" i="1" l="1"/>
  <c r="D445" i="1"/>
  <c r="D291" i="1"/>
  <c r="D616" i="1"/>
  <c r="D509" i="1"/>
  <c r="D476" i="1"/>
  <c r="D473" i="1"/>
  <c r="D443" i="1"/>
  <c r="D389" i="1"/>
  <c r="D195" i="1"/>
  <c r="D174" i="1" l="1"/>
  <c r="D12" i="1" l="1"/>
  <c r="D177" i="1" l="1"/>
  <c r="D607" i="2" l="1"/>
  <c r="D627" i="1"/>
  <c r="D629" i="1"/>
  <c r="D575" i="2"/>
  <c r="D571" i="2"/>
  <c r="D570" i="2"/>
  <c r="D565" i="2"/>
  <c r="D476" i="2"/>
  <c r="D474" i="2"/>
  <c r="D473" i="2"/>
  <c r="D472" i="2"/>
  <c r="D470" i="2"/>
  <c r="D469" i="2"/>
  <c r="D450" i="2"/>
  <c r="D452" i="2"/>
  <c r="D449" i="2"/>
  <c r="D447" i="2"/>
  <c r="D414" i="2"/>
  <c r="D413" i="2"/>
  <c r="D412" i="2"/>
  <c r="D411" i="2"/>
  <c r="D410" i="2"/>
  <c r="D407" i="2"/>
  <c r="D392" i="2"/>
  <c r="D355" i="2"/>
  <c r="D354" i="2"/>
  <c r="D353" i="2"/>
  <c r="D352" i="2"/>
  <c r="D347" i="2"/>
  <c r="D346" i="2"/>
  <c r="D269" i="2"/>
  <c r="D266" i="2"/>
  <c r="D264" i="2"/>
  <c r="D232" i="2"/>
  <c r="D171" i="2"/>
  <c r="D86" i="2"/>
  <c r="D69" i="2"/>
  <c r="D66" i="2"/>
  <c r="D62" i="2"/>
  <c r="D23" i="2"/>
  <c r="D21" i="2"/>
  <c r="D20" i="2"/>
  <c r="D18" i="2"/>
  <c r="D17" i="2"/>
  <c r="D403" i="1"/>
  <c r="D186" i="1" l="1"/>
  <c r="D176" i="1"/>
  <c r="D179" i="1" l="1"/>
  <c r="D158" i="1"/>
  <c r="D139" i="1"/>
  <c r="D120" i="1"/>
  <c r="D103" i="1"/>
  <c r="D85" i="1"/>
  <c r="D60" i="1"/>
  <c r="D56" i="1"/>
  <c r="D45" i="1"/>
  <c r="D34" i="1"/>
  <c r="D14" i="1"/>
  <c r="D596" i="1"/>
  <c r="D595" i="1"/>
  <c r="D592" i="1"/>
  <c r="D591" i="1"/>
  <c r="D586" i="1"/>
  <c r="D489" i="1"/>
  <c r="D487" i="1"/>
  <c r="D486" i="1"/>
  <c r="D485" i="1"/>
  <c r="D483" i="1"/>
  <c r="D482" i="1"/>
  <c r="D464" i="1"/>
  <c r="D462" i="1"/>
  <c r="D461" i="1"/>
  <c r="D459" i="1"/>
  <c r="D425" i="1"/>
  <c r="D424" i="1"/>
  <c r="D423" i="1"/>
  <c r="D422" i="1"/>
  <c r="D421" i="1"/>
  <c r="D418" i="1"/>
  <c r="D362" i="1"/>
  <c r="D365" i="1"/>
  <c r="D363" i="1"/>
  <c r="D361" i="1"/>
  <c r="D356" i="1"/>
  <c r="D355" i="1"/>
  <c r="D276" i="1"/>
  <c r="D273" i="1"/>
  <c r="D238" i="1"/>
  <c r="D94" i="1"/>
  <c r="D92" i="1"/>
  <c r="D91" i="1"/>
  <c r="D88" i="1"/>
  <c r="D70" i="1"/>
  <c r="D67" i="1"/>
  <c r="D63" i="1"/>
  <c r="D23" i="1"/>
  <c r="D21" i="1"/>
  <c r="D20" i="1"/>
  <c r="D18" i="1"/>
  <c r="D17" i="1"/>
  <c r="D271" i="1" l="1"/>
  <c r="J20" i="6" l="1"/>
  <c r="H18" i="6"/>
  <c r="F18" i="6"/>
  <c r="H17" i="6"/>
  <c r="F17" i="6"/>
  <c r="H16" i="6"/>
  <c r="F16" i="6" s="1"/>
  <c r="H15" i="6"/>
  <c r="F15" i="6"/>
  <c r="H14" i="6"/>
  <c r="F14" i="6"/>
  <c r="H13" i="6"/>
  <c r="F13" i="6"/>
  <c r="H12" i="6"/>
  <c r="F12" i="6"/>
  <c r="D11" i="6"/>
  <c r="H11" i="6" s="1"/>
  <c r="F11" i="6" s="1"/>
  <c r="D10" i="6"/>
  <c r="H10" i="6" s="1"/>
  <c r="F10" i="6" s="1"/>
  <c r="D9" i="6"/>
  <c r="H9" i="6" s="1"/>
  <c r="F9" i="6" s="1"/>
  <c r="D8" i="6"/>
  <c r="H8" i="6" s="1"/>
  <c r="F8" i="6" s="1"/>
  <c r="D7" i="6"/>
  <c r="H7" i="6" s="1"/>
  <c r="F7" i="6" s="1"/>
  <c r="H6" i="6"/>
  <c r="F6" i="6" s="1"/>
  <c r="H5" i="6"/>
  <c r="F5" i="6" s="1"/>
  <c r="H4" i="6"/>
  <c r="F4" i="6" s="1"/>
  <c r="H3" i="6"/>
  <c r="F3" i="6" s="1"/>
  <c r="D2" i="6"/>
  <c r="D20" i="6" s="1"/>
  <c r="J20" i="5"/>
  <c r="H18" i="5"/>
  <c r="D17" i="5"/>
  <c r="H17" i="5" s="1"/>
  <c r="F17" i="5" s="1"/>
  <c r="H16" i="5"/>
  <c r="F16" i="5"/>
  <c r="H15" i="5"/>
  <c r="F15" i="5"/>
  <c r="H14" i="5"/>
  <c r="F14" i="5"/>
  <c r="H13" i="5"/>
  <c r="F13" i="5" s="1"/>
  <c r="H12" i="5"/>
  <c r="F12" i="5"/>
  <c r="H11" i="5"/>
  <c r="F11" i="5"/>
  <c r="H10" i="5"/>
  <c r="F10" i="5"/>
  <c r="H9" i="5"/>
  <c r="F9" i="5"/>
  <c r="H8" i="5"/>
  <c r="F8" i="5"/>
  <c r="D8" i="5"/>
  <c r="D7" i="5"/>
  <c r="H7" i="5" s="1"/>
  <c r="F7" i="5" s="1"/>
  <c r="D6" i="5"/>
  <c r="H6" i="5" s="1"/>
  <c r="F6" i="5" s="1"/>
  <c r="D5" i="5"/>
  <c r="H5" i="5" s="1"/>
  <c r="F5" i="5" s="1"/>
  <c r="H4" i="5"/>
  <c r="F4" i="5"/>
  <c r="D4" i="5"/>
  <c r="H3" i="5"/>
  <c r="F3" i="5"/>
  <c r="D2" i="5"/>
  <c r="D20" i="5" s="1"/>
  <c r="J334" i="2"/>
  <c r="D334" i="2"/>
  <c r="J332" i="2"/>
  <c r="D332" i="2"/>
  <c r="J331" i="2"/>
  <c r="D331" i="2"/>
  <c r="J325" i="2"/>
  <c r="D325" i="2"/>
  <c r="D343" i="1"/>
  <c r="D341" i="1"/>
  <c r="D340" i="1"/>
  <c r="D334" i="1"/>
  <c r="J39" i="4"/>
  <c r="D37" i="4"/>
  <c r="H37" i="4" s="1"/>
  <c r="F37" i="4" s="1"/>
  <c r="D36" i="4"/>
  <c r="H36" i="4" s="1"/>
  <c r="F36" i="4" s="1"/>
  <c r="H35" i="4"/>
  <c r="F35" i="4"/>
  <c r="H34" i="4"/>
  <c r="F34" i="4"/>
  <c r="H33" i="4"/>
  <c r="F33" i="4" s="1"/>
  <c r="H32" i="4"/>
  <c r="F32" i="4" s="1"/>
  <c r="H31" i="4"/>
  <c r="F31" i="4"/>
  <c r="H30" i="4"/>
  <c r="F30" i="4"/>
  <c r="H29" i="4"/>
  <c r="F29" i="4"/>
  <c r="H28" i="4"/>
  <c r="F28" i="4"/>
  <c r="H27" i="4"/>
  <c r="F27" i="4" s="1"/>
  <c r="H26" i="4"/>
  <c r="F26" i="4" s="1"/>
  <c r="H25" i="4"/>
  <c r="F25" i="4"/>
  <c r="H24" i="4"/>
  <c r="F24" i="4"/>
  <c r="H23" i="4"/>
  <c r="F23" i="4"/>
  <c r="H22" i="4"/>
  <c r="F22" i="4"/>
  <c r="H21" i="4"/>
  <c r="F21" i="4" s="1"/>
  <c r="H20" i="4"/>
  <c r="F20" i="4" s="1"/>
  <c r="H19" i="4"/>
  <c r="F19" i="4"/>
  <c r="H18" i="4"/>
  <c r="F18" i="4"/>
  <c r="H17" i="4"/>
  <c r="F17" i="4"/>
  <c r="H16" i="4"/>
  <c r="F16" i="4"/>
  <c r="H15" i="4"/>
  <c r="F15" i="4" s="1"/>
  <c r="D15" i="4"/>
  <c r="D14" i="4"/>
  <c r="H14" i="4" s="1"/>
  <c r="F14" i="4" s="1"/>
  <c r="H13" i="4"/>
  <c r="F13" i="4"/>
  <c r="D13" i="4"/>
  <c r="H12" i="4"/>
  <c r="F12" i="4" s="1"/>
  <c r="D12" i="4"/>
  <c r="H11" i="4"/>
  <c r="F11" i="4" s="1"/>
  <c r="D11" i="4"/>
  <c r="D10" i="4"/>
  <c r="H10" i="4" s="1"/>
  <c r="F10" i="4" s="1"/>
  <c r="H9" i="4"/>
  <c r="F9" i="4"/>
  <c r="H8" i="4"/>
  <c r="F8" i="4"/>
  <c r="H7" i="4"/>
  <c r="F7" i="4"/>
  <c r="H6" i="4"/>
  <c r="F6" i="4" s="1"/>
  <c r="H5" i="4"/>
  <c r="F5" i="4" s="1"/>
  <c r="D4" i="4"/>
  <c r="H4" i="4" s="1"/>
  <c r="F4" i="4" s="1"/>
  <c r="D3" i="4"/>
  <c r="H3" i="4" s="1"/>
  <c r="F3" i="4" s="1"/>
  <c r="D2" i="4"/>
  <c r="H2" i="4" s="1"/>
  <c r="J236" i="2"/>
  <c r="D236" i="2"/>
  <c r="J234" i="2"/>
  <c r="D234" i="2"/>
  <c r="J233" i="2"/>
  <c r="D233" i="2"/>
  <c r="J224" i="2"/>
  <c r="D224" i="2"/>
  <c r="D242" i="1"/>
  <c r="D240" i="1"/>
  <c r="D239" i="1"/>
  <c r="D230" i="1"/>
  <c r="H2" i="6" l="1"/>
  <c r="H2" i="5"/>
  <c r="H39" i="4"/>
  <c r="F39" i="4" s="1"/>
  <c r="F2" i="4"/>
  <c r="D39" i="4"/>
  <c r="H20" i="6" l="1"/>
  <c r="F20" i="6" s="1"/>
  <c r="F2" i="6"/>
  <c r="H20" i="5"/>
  <c r="F20" i="5" s="1"/>
  <c r="F2" i="5"/>
  <c r="D245" i="2" l="1"/>
  <c r="J269" i="2" l="1"/>
  <c r="J267" i="2"/>
  <c r="J266" i="2"/>
  <c r="J263" i="2"/>
  <c r="J262" i="2"/>
  <c r="D267" i="2"/>
  <c r="D263" i="2"/>
  <c r="D262" i="2"/>
  <c r="D274" i="1" l="1"/>
  <c r="D270" i="1"/>
  <c r="D269" i="1"/>
  <c r="H629" i="1" l="1"/>
  <c r="F629" i="1" s="1"/>
  <c r="H628" i="1"/>
  <c r="F628" i="1" s="1"/>
  <c r="F597" i="1"/>
  <c r="F600" i="1"/>
  <c r="F601" i="1"/>
  <c r="F604" i="1"/>
  <c r="F608" i="1"/>
  <c r="F609" i="1"/>
  <c r="F612" i="1"/>
  <c r="F613" i="1"/>
  <c r="F616" i="1"/>
  <c r="F621" i="1"/>
  <c r="F622" i="1"/>
  <c r="F625" i="1"/>
  <c r="F626" i="1"/>
  <c r="H589" i="1"/>
  <c r="F589" i="1" s="1"/>
  <c r="H595" i="1"/>
  <c r="F595" i="1" s="1"/>
  <c r="H597" i="1"/>
  <c r="H598" i="1"/>
  <c r="F598" i="1" s="1"/>
  <c r="H599" i="1"/>
  <c r="F599" i="1" s="1"/>
  <c r="H600" i="1"/>
  <c r="H601" i="1"/>
  <c r="H602" i="1"/>
  <c r="F602" i="1" s="1"/>
  <c r="H603" i="1"/>
  <c r="F603" i="1" s="1"/>
  <c r="H604" i="1"/>
  <c r="H605" i="1"/>
  <c r="F605" i="1" s="1"/>
  <c r="H606" i="1"/>
  <c r="F606" i="1" s="1"/>
  <c r="H607" i="1"/>
  <c r="F607" i="1" s="1"/>
  <c r="H608" i="1"/>
  <c r="H609" i="1"/>
  <c r="H610" i="1"/>
  <c r="F610" i="1" s="1"/>
  <c r="H611" i="1"/>
  <c r="F611" i="1" s="1"/>
  <c r="H612" i="1"/>
  <c r="H613" i="1"/>
  <c r="H614" i="1"/>
  <c r="F614" i="1" s="1"/>
  <c r="H615" i="1"/>
  <c r="F615" i="1" s="1"/>
  <c r="H616" i="1"/>
  <c r="H617" i="1"/>
  <c r="F617" i="1" s="1"/>
  <c r="H618" i="1"/>
  <c r="F618" i="1" s="1"/>
  <c r="H620" i="1"/>
  <c r="F620" i="1" s="1"/>
  <c r="H621" i="1"/>
  <c r="H622" i="1"/>
  <c r="H623" i="1"/>
  <c r="F623" i="1" s="1"/>
  <c r="H624" i="1"/>
  <c r="F624" i="1" s="1"/>
  <c r="H625" i="1"/>
  <c r="H626" i="1"/>
  <c r="H627" i="1"/>
  <c r="F627" i="1" s="1"/>
  <c r="H630" i="1"/>
  <c r="F630" i="1" s="1"/>
  <c r="H631" i="1"/>
  <c r="F631" i="1" s="1"/>
  <c r="H632" i="1"/>
  <c r="F632" i="1" s="1"/>
  <c r="H633" i="1"/>
  <c r="F633" i="1" s="1"/>
  <c r="H634" i="1"/>
  <c r="F634" i="1" s="1"/>
  <c r="J572" i="1"/>
  <c r="P559" i="2"/>
  <c r="N557" i="2"/>
  <c r="H557" i="2"/>
  <c r="F560" i="1"/>
  <c r="H562" i="1"/>
  <c r="F562" i="1" s="1"/>
  <c r="H563" i="1"/>
  <c r="F563" i="1" s="1"/>
  <c r="H570" i="1"/>
  <c r="H560" i="1"/>
  <c r="H556" i="1"/>
  <c r="F556" i="1" s="1"/>
  <c r="H555" i="1"/>
  <c r="F555" i="1" s="1"/>
  <c r="H539" i="1"/>
  <c r="F539" i="1" s="1"/>
  <c r="H540" i="1"/>
  <c r="F540" i="1" s="1"/>
  <c r="H541" i="1"/>
  <c r="F541" i="1" s="1"/>
  <c r="H542" i="1"/>
  <c r="F542" i="1" s="1"/>
  <c r="H543" i="1"/>
  <c r="F543" i="1" s="1"/>
  <c r="H544" i="1"/>
  <c r="F544" i="1" s="1"/>
  <c r="H545" i="1"/>
  <c r="F545" i="1" s="1"/>
  <c r="H546" i="1"/>
  <c r="F546" i="1" s="1"/>
  <c r="H547" i="1"/>
  <c r="F547" i="1" s="1"/>
  <c r="F524" i="1"/>
  <c r="H525" i="1"/>
  <c r="F525" i="1" s="1"/>
  <c r="H526" i="1"/>
  <c r="F526" i="1" s="1"/>
  <c r="H527" i="1"/>
  <c r="F527" i="1" s="1"/>
  <c r="H528" i="1"/>
  <c r="F528" i="1" s="1"/>
  <c r="H529" i="1"/>
  <c r="H524" i="1"/>
  <c r="F516" i="1"/>
  <c r="H484" i="1"/>
  <c r="F484" i="1" s="1"/>
  <c r="H490" i="1"/>
  <c r="F490" i="1" s="1"/>
  <c r="H491" i="1"/>
  <c r="F491" i="1" s="1"/>
  <c r="H492" i="1"/>
  <c r="F492" i="1" s="1"/>
  <c r="H493" i="1"/>
  <c r="F493" i="1" s="1"/>
  <c r="H494" i="1"/>
  <c r="F494" i="1" s="1"/>
  <c r="H495" i="1"/>
  <c r="F495" i="1" s="1"/>
  <c r="H496" i="1"/>
  <c r="F496" i="1" s="1"/>
  <c r="H497" i="1"/>
  <c r="F497" i="1" s="1"/>
  <c r="H498" i="1"/>
  <c r="F498" i="1" s="1"/>
  <c r="H500" i="1"/>
  <c r="F500" i="1" s="1"/>
  <c r="H501" i="1"/>
  <c r="F501" i="1" s="1"/>
  <c r="H502" i="1"/>
  <c r="F502" i="1" s="1"/>
  <c r="H503" i="1"/>
  <c r="F503" i="1" s="1"/>
  <c r="H504" i="1"/>
  <c r="F504" i="1" s="1"/>
  <c r="H505" i="1"/>
  <c r="H506" i="1"/>
  <c r="F506" i="1" s="1"/>
  <c r="H507" i="1"/>
  <c r="F507" i="1" s="1"/>
  <c r="H508" i="1"/>
  <c r="F508" i="1" s="1"/>
  <c r="H509" i="1"/>
  <c r="F509" i="1" s="1"/>
  <c r="H510" i="1"/>
  <c r="F510" i="1" s="1"/>
  <c r="H511" i="1"/>
  <c r="F511" i="1" s="1"/>
  <c r="H513" i="1"/>
  <c r="F513" i="1" s="1"/>
  <c r="H514" i="1"/>
  <c r="F514" i="1" s="1"/>
  <c r="H515" i="1"/>
  <c r="F515" i="1" s="1"/>
  <c r="H516" i="1"/>
  <c r="H517" i="1"/>
  <c r="F517" i="1" s="1"/>
  <c r="H518" i="1"/>
  <c r="F518" i="1" s="1"/>
  <c r="H520" i="1"/>
  <c r="F471" i="1"/>
  <c r="F472" i="1"/>
  <c r="F474" i="1"/>
  <c r="H467" i="1"/>
  <c r="F467" i="1" s="1"/>
  <c r="H468" i="1"/>
  <c r="F468" i="1" s="1"/>
  <c r="H469" i="1"/>
  <c r="F469" i="1" s="1"/>
  <c r="H470" i="1"/>
  <c r="F470" i="1" s="1"/>
  <c r="H471" i="1"/>
  <c r="H472" i="1"/>
  <c r="H473" i="1"/>
  <c r="F473" i="1" s="1"/>
  <c r="H474" i="1"/>
  <c r="H476" i="1"/>
  <c r="F476" i="1" s="1"/>
  <c r="H477" i="1"/>
  <c r="F477" i="1" s="1"/>
  <c r="H453" i="1"/>
  <c r="F453" i="1" s="1"/>
  <c r="H454" i="1"/>
  <c r="F454" i="1" s="1"/>
  <c r="H452" i="1"/>
  <c r="F452" i="1" s="1"/>
  <c r="F432" i="1"/>
  <c r="H419" i="1"/>
  <c r="F419" i="1" s="1"/>
  <c r="H420" i="1"/>
  <c r="H426" i="1"/>
  <c r="F426" i="1" s="1"/>
  <c r="H427" i="1"/>
  <c r="F427" i="1" s="1"/>
  <c r="H428" i="1"/>
  <c r="F428" i="1" s="1"/>
  <c r="H429" i="1"/>
  <c r="F429" i="1" s="1"/>
  <c r="H430" i="1"/>
  <c r="F430" i="1" s="1"/>
  <c r="H431" i="1"/>
  <c r="F431" i="1" s="1"/>
  <c r="H432" i="1"/>
  <c r="H433" i="1"/>
  <c r="F433" i="1" s="1"/>
  <c r="H434" i="1"/>
  <c r="F434" i="1" s="1"/>
  <c r="H435" i="1"/>
  <c r="F435" i="1" s="1"/>
  <c r="H436" i="1"/>
  <c r="F436" i="1" s="1"/>
  <c r="H437" i="1"/>
  <c r="F437" i="1" s="1"/>
  <c r="H439" i="1"/>
  <c r="F439" i="1" s="1"/>
  <c r="H440" i="1"/>
  <c r="F440" i="1" s="1"/>
  <c r="H441" i="1"/>
  <c r="F441" i="1" s="1"/>
  <c r="H442" i="1"/>
  <c r="F442" i="1" s="1"/>
  <c r="H443" i="1"/>
  <c r="F443" i="1" s="1"/>
  <c r="H444" i="1"/>
  <c r="F444" i="1" s="1"/>
  <c r="H445" i="1"/>
  <c r="F445" i="1" s="1"/>
  <c r="H446" i="1"/>
  <c r="F446" i="1" s="1"/>
  <c r="H447" i="1"/>
  <c r="F447" i="1" s="1"/>
  <c r="H448" i="1"/>
  <c r="F448" i="1" s="1"/>
  <c r="F412" i="1"/>
  <c r="F413" i="1"/>
  <c r="F414" i="1"/>
  <c r="H412" i="1"/>
  <c r="H413" i="1"/>
  <c r="H414" i="1"/>
  <c r="H408" i="1"/>
  <c r="F408" i="1" s="1"/>
  <c r="F382" i="1"/>
  <c r="F394" i="1"/>
  <c r="H358" i="1"/>
  <c r="F358" i="1" s="1"/>
  <c r="H359" i="1"/>
  <c r="F359" i="1" s="1"/>
  <c r="H366" i="1"/>
  <c r="F366" i="1" s="1"/>
  <c r="H367" i="1"/>
  <c r="F367" i="1" s="1"/>
  <c r="H368" i="1"/>
  <c r="F368" i="1" s="1"/>
  <c r="H369" i="1"/>
  <c r="F369" i="1" s="1"/>
  <c r="H370" i="1"/>
  <c r="F370" i="1" s="1"/>
  <c r="H371" i="1"/>
  <c r="F371" i="1" s="1"/>
  <c r="H372" i="1"/>
  <c r="F372" i="1" s="1"/>
  <c r="H373" i="1"/>
  <c r="F373" i="1" s="1"/>
  <c r="H374" i="1"/>
  <c r="F374" i="1" s="1"/>
  <c r="H375" i="1"/>
  <c r="F375" i="1" s="1"/>
  <c r="H376" i="1"/>
  <c r="F376" i="1" s="1"/>
  <c r="H377" i="1"/>
  <c r="F377" i="1" s="1"/>
  <c r="H378" i="1"/>
  <c r="F378" i="1" s="1"/>
  <c r="H379" i="1"/>
  <c r="F379" i="1" s="1"/>
  <c r="H380" i="1"/>
  <c r="F380" i="1" s="1"/>
  <c r="H381" i="1"/>
  <c r="F381" i="1" s="1"/>
  <c r="H382" i="1"/>
  <c r="H383" i="1"/>
  <c r="F383" i="1" s="1"/>
  <c r="H384" i="1"/>
  <c r="F384" i="1" s="1"/>
  <c r="H385" i="1"/>
  <c r="F385" i="1" s="1"/>
  <c r="H386" i="1"/>
  <c r="F386" i="1" s="1"/>
  <c r="H387" i="1"/>
  <c r="F387" i="1" s="1"/>
  <c r="H388" i="1"/>
  <c r="F388" i="1" s="1"/>
  <c r="H389" i="1"/>
  <c r="F389" i="1" s="1"/>
  <c r="H390" i="1"/>
  <c r="F390" i="1" s="1"/>
  <c r="H391" i="1"/>
  <c r="F391" i="1" s="1"/>
  <c r="H392" i="1"/>
  <c r="F392" i="1" s="1"/>
  <c r="H393" i="1"/>
  <c r="F393" i="1" s="1"/>
  <c r="H394" i="1"/>
  <c r="H395" i="1"/>
  <c r="F395" i="1" s="1"/>
  <c r="H396" i="1"/>
  <c r="F396" i="1" s="1"/>
  <c r="H397" i="1"/>
  <c r="F397" i="1" s="1"/>
  <c r="H398" i="1"/>
  <c r="F398" i="1" s="1"/>
  <c r="H399" i="1"/>
  <c r="F399" i="1" s="1"/>
  <c r="H400" i="1"/>
  <c r="F400" i="1" s="1"/>
  <c r="H402" i="1"/>
  <c r="F402" i="1" s="1"/>
  <c r="H404" i="1"/>
  <c r="F404" i="1" s="1"/>
  <c r="H354" i="1"/>
  <c r="F354" i="1" s="1"/>
  <c r="F344" i="1"/>
  <c r="H335" i="1"/>
  <c r="F335" i="1" s="1"/>
  <c r="H336" i="1"/>
  <c r="F336" i="1" s="1"/>
  <c r="H337" i="1"/>
  <c r="F337" i="1" s="1"/>
  <c r="H338" i="1"/>
  <c r="F338" i="1" s="1"/>
  <c r="H344" i="1"/>
  <c r="H345" i="1"/>
  <c r="F345" i="1" s="1"/>
  <c r="H346" i="1"/>
  <c r="F346" i="1" s="1"/>
  <c r="H347" i="1"/>
  <c r="F347" i="1" s="1"/>
  <c r="H348" i="1"/>
  <c r="F348" i="1" s="1"/>
  <c r="H349" i="1"/>
  <c r="F349" i="1" s="1"/>
  <c r="H350" i="1"/>
  <c r="F350" i="1" s="1"/>
  <c r="F326" i="1"/>
  <c r="H314" i="1"/>
  <c r="F314" i="1" s="1"/>
  <c r="H320" i="1"/>
  <c r="F320" i="1" s="1"/>
  <c r="H321" i="1"/>
  <c r="F321" i="1" s="1"/>
  <c r="H322" i="1"/>
  <c r="F322" i="1" s="1"/>
  <c r="H323" i="1"/>
  <c r="F323" i="1" s="1"/>
  <c r="H324" i="1"/>
  <c r="F324" i="1" s="1"/>
  <c r="H325" i="1"/>
  <c r="F325" i="1" s="1"/>
  <c r="H326" i="1"/>
  <c r="H328" i="1"/>
  <c r="F328" i="1" s="1"/>
  <c r="H330" i="1"/>
  <c r="F281" i="1"/>
  <c r="F284" i="1"/>
  <c r="F294" i="1"/>
  <c r="H277" i="1"/>
  <c r="F277" i="1" s="1"/>
  <c r="H278" i="1"/>
  <c r="F278" i="1" s="1"/>
  <c r="H279" i="1"/>
  <c r="F279" i="1" s="1"/>
  <c r="H280" i="1"/>
  <c r="F280" i="1" s="1"/>
  <c r="H281" i="1"/>
  <c r="H282" i="1"/>
  <c r="F282" i="1" s="1"/>
  <c r="H283" i="1"/>
  <c r="F283" i="1" s="1"/>
  <c r="H284" i="1"/>
  <c r="H285" i="1"/>
  <c r="F285" i="1" s="1"/>
  <c r="H286" i="1"/>
  <c r="F286" i="1" s="1"/>
  <c r="H287" i="1"/>
  <c r="F287" i="1" s="1"/>
  <c r="H288" i="1"/>
  <c r="F288" i="1" s="1"/>
  <c r="H289" i="1"/>
  <c r="F289" i="1" s="1"/>
  <c r="H291" i="1"/>
  <c r="F291" i="1" s="1"/>
  <c r="H292" i="1"/>
  <c r="F292" i="1" s="1"/>
  <c r="H294" i="1"/>
  <c r="H295" i="1"/>
  <c r="F295" i="1" s="1"/>
  <c r="H296" i="1"/>
  <c r="F296" i="1" s="1"/>
  <c r="H297" i="1"/>
  <c r="F297" i="1" s="1"/>
  <c r="H298" i="1"/>
  <c r="F298" i="1" s="1"/>
  <c r="H299" i="1"/>
  <c r="F299" i="1" s="1"/>
  <c r="H300" i="1"/>
  <c r="F300" i="1" s="1"/>
  <c r="H232" i="1"/>
  <c r="F232" i="1" s="1"/>
  <c r="H233" i="1"/>
  <c r="F233" i="1" s="1"/>
  <c r="H234" i="1"/>
  <c r="F234" i="1" s="1"/>
  <c r="H235" i="1"/>
  <c r="F235" i="1" s="1"/>
  <c r="H236" i="1"/>
  <c r="F236" i="1" s="1"/>
  <c r="H243" i="1"/>
  <c r="F243" i="1" s="1"/>
  <c r="H244" i="1"/>
  <c r="F244" i="1" s="1"/>
  <c r="H245" i="1"/>
  <c r="F245" i="1" s="1"/>
  <c r="H246" i="1"/>
  <c r="F246" i="1" s="1"/>
  <c r="H247" i="1"/>
  <c r="F247" i="1" s="1"/>
  <c r="H248" i="1"/>
  <c r="F248" i="1" s="1"/>
  <c r="H249" i="1"/>
  <c r="F249" i="1" s="1"/>
  <c r="H250" i="1"/>
  <c r="F250" i="1" s="1"/>
  <c r="H251" i="1"/>
  <c r="F251" i="1" s="1"/>
  <c r="H252" i="1"/>
  <c r="F252" i="1" s="1"/>
  <c r="H254" i="1"/>
  <c r="F254" i="1" s="1"/>
  <c r="H255" i="1"/>
  <c r="F255" i="1" s="1"/>
  <c r="H256" i="1"/>
  <c r="F256" i="1" s="1"/>
  <c r="H257" i="1"/>
  <c r="F257" i="1" s="1"/>
  <c r="H258" i="1"/>
  <c r="F258" i="1" s="1"/>
  <c r="H259" i="1"/>
  <c r="F259" i="1" s="1"/>
  <c r="H260" i="1"/>
  <c r="F260" i="1" s="1"/>
  <c r="H261" i="1"/>
  <c r="F261" i="1" s="1"/>
  <c r="H262" i="1"/>
  <c r="F262" i="1" s="1"/>
  <c r="H263" i="1"/>
  <c r="F263" i="1" s="1"/>
  <c r="H221" i="1"/>
  <c r="F221" i="1" s="1"/>
  <c r="H222" i="1"/>
  <c r="F222" i="1" s="1"/>
  <c r="H223" i="1"/>
  <c r="F223" i="1" s="1"/>
  <c r="H224" i="1"/>
  <c r="F224" i="1" s="1"/>
  <c r="H225" i="1"/>
  <c r="F225" i="1" s="1"/>
  <c r="H217" i="1"/>
  <c r="F217" i="1" s="1"/>
  <c r="H212" i="1"/>
  <c r="F212" i="1" s="1"/>
  <c r="H192" i="1"/>
  <c r="F192" i="1" s="1"/>
  <c r="H193" i="1"/>
  <c r="F193" i="1" s="1"/>
  <c r="H194" i="1"/>
  <c r="F194" i="1" s="1"/>
  <c r="H195" i="1"/>
  <c r="F195" i="1" s="1"/>
  <c r="H196" i="1"/>
  <c r="F196" i="1" s="1"/>
  <c r="H198" i="1"/>
  <c r="F198" i="1" s="1"/>
  <c r="H199" i="1"/>
  <c r="F199" i="1" s="1"/>
  <c r="H201" i="1"/>
  <c r="F201" i="1" s="1"/>
  <c r="H202" i="1"/>
  <c r="F202" i="1" s="1"/>
  <c r="H182" i="1"/>
  <c r="F182" i="1" s="1"/>
  <c r="H183" i="1"/>
  <c r="F183" i="1" s="1"/>
  <c r="H184" i="1"/>
  <c r="F184" i="1" s="1"/>
  <c r="H181" i="1"/>
  <c r="F181" i="1" s="1"/>
  <c r="H175" i="1"/>
  <c r="F175" i="1" s="1"/>
  <c r="H176" i="1"/>
  <c r="F176" i="1" s="1"/>
  <c r="H177" i="1"/>
  <c r="F177" i="1" s="1"/>
  <c r="H174" i="1"/>
  <c r="F174" i="1" s="1"/>
  <c r="D164" i="2"/>
  <c r="D163" i="2"/>
  <c r="D162" i="2"/>
  <c r="D161" i="2"/>
  <c r="D160" i="2"/>
  <c r="D159" i="2"/>
  <c r="D158" i="2"/>
  <c r="D157" i="2"/>
  <c r="F151" i="1"/>
  <c r="H149" i="1"/>
  <c r="F149" i="1" s="1"/>
  <c r="H150" i="1"/>
  <c r="F150" i="1" s="1"/>
  <c r="H151" i="1"/>
  <c r="H152" i="1"/>
  <c r="F152" i="1" s="1"/>
  <c r="H153" i="1"/>
  <c r="F153" i="1" s="1"/>
  <c r="H154" i="1"/>
  <c r="F154" i="1" s="1"/>
  <c r="H155" i="1"/>
  <c r="F155" i="1" s="1"/>
  <c r="H156" i="1"/>
  <c r="F156" i="1" s="1"/>
  <c r="F131" i="1"/>
  <c r="F132" i="1"/>
  <c r="H128" i="1"/>
  <c r="F128" i="1" s="1"/>
  <c r="H129" i="1"/>
  <c r="F129" i="1" s="1"/>
  <c r="H130" i="1"/>
  <c r="F130" i="1" s="1"/>
  <c r="H131" i="1"/>
  <c r="H132" i="1"/>
  <c r="H133" i="1"/>
  <c r="F133" i="1" s="1"/>
  <c r="H134" i="1"/>
  <c r="F134" i="1" s="1"/>
  <c r="H135" i="1"/>
  <c r="F135" i="1" s="1"/>
  <c r="H136" i="1"/>
  <c r="F136" i="1" s="1"/>
  <c r="H137" i="1"/>
  <c r="F137" i="1" s="1"/>
  <c r="H107" i="1"/>
  <c r="F107" i="1" s="1"/>
  <c r="H114" i="1"/>
  <c r="F114" i="1" s="1"/>
  <c r="H115" i="1"/>
  <c r="F115" i="1" s="1"/>
  <c r="H116" i="1"/>
  <c r="F116" i="1" s="1"/>
  <c r="H117" i="1"/>
  <c r="H118" i="1"/>
  <c r="F118" i="1" s="1"/>
  <c r="H105" i="1"/>
  <c r="F99" i="1"/>
  <c r="H89" i="1"/>
  <c r="F89" i="1" s="1"/>
  <c r="H95" i="1"/>
  <c r="F95" i="1" s="1"/>
  <c r="H96" i="1"/>
  <c r="F96" i="1" s="1"/>
  <c r="H97" i="1"/>
  <c r="F97" i="1" s="1"/>
  <c r="H98" i="1"/>
  <c r="F98" i="1" s="1"/>
  <c r="H99" i="1"/>
  <c r="H100" i="1"/>
  <c r="F100" i="1" s="1"/>
  <c r="H101" i="1"/>
  <c r="F101" i="1" s="1"/>
  <c r="F78" i="1"/>
  <c r="F81" i="1"/>
  <c r="F82" i="1"/>
  <c r="H71" i="1"/>
  <c r="F71" i="1" s="1"/>
  <c r="H72" i="1"/>
  <c r="F72" i="1" s="1"/>
  <c r="H74" i="1"/>
  <c r="F74" i="1" s="1"/>
  <c r="H75" i="1"/>
  <c r="F75" i="1" s="1"/>
  <c r="H76" i="1"/>
  <c r="F76" i="1" s="1"/>
  <c r="H77" i="1"/>
  <c r="F77" i="1" s="1"/>
  <c r="H78" i="1"/>
  <c r="H79" i="1"/>
  <c r="F79" i="1" s="1"/>
  <c r="H80" i="1"/>
  <c r="F80" i="1" s="1"/>
  <c r="H81" i="1"/>
  <c r="H82" i="1"/>
  <c r="H83" i="1"/>
  <c r="F83" i="1" s="1"/>
  <c r="H58" i="1"/>
  <c r="F58" i="1" s="1"/>
  <c r="F51" i="1"/>
  <c r="H53" i="1"/>
  <c r="F53" i="1" s="1"/>
  <c r="H52" i="1"/>
  <c r="F52" i="1" s="1"/>
  <c r="H51" i="1"/>
  <c r="H50" i="1"/>
  <c r="F50" i="1" s="1"/>
  <c r="H40" i="1"/>
  <c r="F40" i="1" s="1"/>
  <c r="H41" i="1"/>
  <c r="F41" i="1" s="1"/>
  <c r="H42" i="1"/>
  <c r="F42" i="1" s="1"/>
  <c r="H43" i="1"/>
  <c r="F43" i="1" s="1"/>
  <c r="F25" i="1"/>
  <c r="F27" i="1"/>
  <c r="F28" i="1"/>
  <c r="H24" i="1"/>
  <c r="F24" i="1" s="1"/>
  <c r="H25" i="1"/>
  <c r="H26" i="1"/>
  <c r="F26" i="1" s="1"/>
  <c r="H27" i="1"/>
  <c r="H28" i="1"/>
  <c r="H29" i="1"/>
  <c r="F29" i="1" s="1"/>
  <c r="H30" i="1"/>
  <c r="F30" i="1" s="1"/>
  <c r="H31" i="1"/>
  <c r="H32" i="1"/>
  <c r="F32" i="1" s="1"/>
  <c r="H16" i="1"/>
  <c r="F16" i="1" s="1"/>
  <c r="H7" i="1"/>
  <c r="F7" i="1" s="1"/>
  <c r="H8" i="1"/>
  <c r="H9" i="1"/>
  <c r="F9" i="1" s="1"/>
  <c r="H10" i="1"/>
  <c r="F10" i="1" s="1"/>
  <c r="H11" i="1"/>
  <c r="F11" i="1" s="1"/>
  <c r="H12" i="1"/>
  <c r="F12" i="1" s="1"/>
  <c r="P618" i="2"/>
  <c r="J616" i="2"/>
  <c r="N616" i="2" s="1"/>
  <c r="L616" i="2" s="1"/>
  <c r="D616" i="2"/>
  <c r="H616" i="2" s="1"/>
  <c r="F616" i="2" s="1"/>
  <c r="J615" i="2"/>
  <c r="N615" i="2" s="1"/>
  <c r="L615" i="2" s="1"/>
  <c r="D615" i="2"/>
  <c r="H615" i="2" s="1"/>
  <c r="F615" i="2" s="1"/>
  <c r="J614" i="2"/>
  <c r="N614" i="2" s="1"/>
  <c r="L614" i="2" s="1"/>
  <c r="D614" i="2"/>
  <c r="H614" i="2" s="1"/>
  <c r="F614" i="2" s="1"/>
  <c r="J613" i="2"/>
  <c r="N613" i="2" s="1"/>
  <c r="L613" i="2" s="1"/>
  <c r="D613" i="2"/>
  <c r="H613" i="2" s="1"/>
  <c r="F613" i="2" s="1"/>
  <c r="N612" i="2"/>
  <c r="L612" i="2" s="1"/>
  <c r="H612" i="2"/>
  <c r="F612" i="2" s="1"/>
  <c r="N611" i="2"/>
  <c r="L611" i="2" s="1"/>
  <c r="H611" i="2"/>
  <c r="F611" i="2" s="1"/>
  <c r="N610" i="2"/>
  <c r="L610" i="2" s="1"/>
  <c r="H610" i="2"/>
  <c r="N609" i="2"/>
  <c r="L609" i="2" s="1"/>
  <c r="H609" i="2"/>
  <c r="F609" i="2" s="1"/>
  <c r="N608" i="2"/>
  <c r="L608" i="2" s="1"/>
  <c r="H608" i="2"/>
  <c r="F608" i="2" s="1"/>
  <c r="N607" i="2"/>
  <c r="L607" i="2"/>
  <c r="H607" i="2"/>
  <c r="F607" i="2" s="1"/>
  <c r="N606" i="2"/>
  <c r="L606" i="2" s="1"/>
  <c r="H606" i="2"/>
  <c r="F606" i="2" s="1"/>
  <c r="N605" i="2"/>
  <c r="L605" i="2" s="1"/>
  <c r="H605" i="2"/>
  <c r="F605" i="2" s="1"/>
  <c r="N604" i="2"/>
  <c r="L604" i="2"/>
  <c r="H604" i="2"/>
  <c r="F604" i="2" s="1"/>
  <c r="N603" i="2"/>
  <c r="L603" i="2" s="1"/>
  <c r="H603" i="2"/>
  <c r="F603" i="2" s="1"/>
  <c r="N602" i="2"/>
  <c r="L602" i="2" s="1"/>
  <c r="H602" i="2"/>
  <c r="F602" i="2" s="1"/>
  <c r="N601" i="2"/>
  <c r="L601" i="2"/>
  <c r="H601" i="2"/>
  <c r="F601" i="2" s="1"/>
  <c r="N600" i="2"/>
  <c r="L600" i="2" s="1"/>
  <c r="H600" i="2"/>
  <c r="F600" i="2" s="1"/>
  <c r="N599" i="2"/>
  <c r="L599" i="2" s="1"/>
  <c r="H599" i="2"/>
  <c r="F599" i="2" s="1"/>
  <c r="N598" i="2"/>
  <c r="L598" i="2" s="1"/>
  <c r="H598" i="2"/>
  <c r="F598" i="2" s="1"/>
  <c r="N597" i="2"/>
  <c r="L597" i="2" s="1"/>
  <c r="H597" i="2"/>
  <c r="F597" i="2" s="1"/>
  <c r="N596" i="2"/>
  <c r="L596" i="2" s="1"/>
  <c r="H596" i="2"/>
  <c r="F596" i="2" s="1"/>
  <c r="N595" i="2"/>
  <c r="L595" i="2" s="1"/>
  <c r="H595" i="2"/>
  <c r="F595" i="2" s="1"/>
  <c r="N594" i="2"/>
  <c r="L594" i="2" s="1"/>
  <c r="H594" i="2"/>
  <c r="F594" i="2"/>
  <c r="N593" i="2"/>
  <c r="L593" i="2" s="1"/>
  <c r="H593" i="2"/>
  <c r="F593" i="2" s="1"/>
  <c r="N592" i="2"/>
  <c r="L592" i="2" s="1"/>
  <c r="H592" i="2"/>
  <c r="F592" i="2" s="1"/>
  <c r="N591" i="2"/>
  <c r="L591" i="2" s="1"/>
  <c r="H591" i="2"/>
  <c r="F591" i="2" s="1"/>
  <c r="N590" i="2"/>
  <c r="L590" i="2" s="1"/>
  <c r="H590" i="2"/>
  <c r="F590" i="2" s="1"/>
  <c r="N589" i="2"/>
  <c r="L589" i="2"/>
  <c r="H589" i="2"/>
  <c r="F589" i="2" s="1"/>
  <c r="N588" i="2"/>
  <c r="L588" i="2" s="1"/>
  <c r="H588" i="2"/>
  <c r="F588" i="2" s="1"/>
  <c r="N587" i="2"/>
  <c r="L587" i="2" s="1"/>
  <c r="H587" i="2"/>
  <c r="F587" i="2" s="1"/>
  <c r="N586" i="2"/>
  <c r="L586" i="2" s="1"/>
  <c r="H586" i="2"/>
  <c r="F586" i="2" s="1"/>
  <c r="N585" i="2"/>
  <c r="L585" i="2" s="1"/>
  <c r="H585" i="2"/>
  <c r="F585" i="2"/>
  <c r="N584" i="2"/>
  <c r="L584" i="2"/>
  <c r="H584" i="2"/>
  <c r="F584" i="2" s="1"/>
  <c r="N583" i="2"/>
  <c r="L583" i="2" s="1"/>
  <c r="H583" i="2"/>
  <c r="F583" i="2" s="1"/>
  <c r="N582" i="2"/>
  <c r="L582" i="2" s="1"/>
  <c r="H582" i="2"/>
  <c r="F582" i="2"/>
  <c r="N581" i="2"/>
  <c r="L581" i="2" s="1"/>
  <c r="H581" i="2"/>
  <c r="F581" i="2" s="1"/>
  <c r="N580" i="2"/>
  <c r="L580" i="2"/>
  <c r="H580" i="2"/>
  <c r="F580" i="2" s="1"/>
  <c r="N579" i="2"/>
  <c r="L579" i="2" s="1"/>
  <c r="H579" i="2"/>
  <c r="F579" i="2" s="1"/>
  <c r="N578" i="2"/>
  <c r="L578" i="2" s="1"/>
  <c r="H578" i="2"/>
  <c r="F578" i="2" s="1"/>
  <c r="N577" i="2"/>
  <c r="L577" i="2" s="1"/>
  <c r="H577" i="2"/>
  <c r="F577" i="2" s="1"/>
  <c r="N576" i="2"/>
  <c r="L576" i="2" s="1"/>
  <c r="H576" i="2"/>
  <c r="F576" i="2" s="1"/>
  <c r="J575" i="2"/>
  <c r="N575" i="2" s="1"/>
  <c r="L575" i="2" s="1"/>
  <c r="H575" i="2"/>
  <c r="F575" i="2" s="1"/>
  <c r="N574" i="2"/>
  <c r="L574" i="2" s="1"/>
  <c r="H574" i="2"/>
  <c r="F574" i="2" s="1"/>
  <c r="J573" i="2"/>
  <c r="D573" i="2"/>
  <c r="J572" i="2"/>
  <c r="N572" i="2" s="1"/>
  <c r="L572" i="2" s="1"/>
  <c r="D572" i="2"/>
  <c r="H572" i="2" s="1"/>
  <c r="F572" i="2" s="1"/>
  <c r="J571" i="2"/>
  <c r="J570" i="2"/>
  <c r="N570" i="2" s="1"/>
  <c r="L570" i="2" s="1"/>
  <c r="H570" i="2"/>
  <c r="F570" i="2" s="1"/>
  <c r="J569" i="2"/>
  <c r="D569" i="2"/>
  <c r="N568" i="2"/>
  <c r="L568" i="2" s="1"/>
  <c r="H568" i="2"/>
  <c r="F568" i="2" s="1"/>
  <c r="J567" i="2"/>
  <c r="N567" i="2" s="1"/>
  <c r="L567" i="2" s="1"/>
  <c r="D567" i="2"/>
  <c r="J566" i="2"/>
  <c r="N566" i="2" s="1"/>
  <c r="L566" i="2" s="1"/>
  <c r="D566" i="2"/>
  <c r="H566" i="2" s="1"/>
  <c r="F566" i="2" s="1"/>
  <c r="J565" i="2"/>
  <c r="J556" i="2"/>
  <c r="N556" i="2" s="1"/>
  <c r="L556" i="2" s="1"/>
  <c r="D556" i="2"/>
  <c r="H556" i="2" s="1"/>
  <c r="F556" i="2" s="1"/>
  <c r="J555" i="2"/>
  <c r="N555" i="2" s="1"/>
  <c r="H555" i="2"/>
  <c r="F555" i="2" s="1"/>
  <c r="J554" i="2"/>
  <c r="N554" i="2" s="1"/>
  <c r="L554" i="2" s="1"/>
  <c r="D554" i="2"/>
  <c r="H554" i="2" s="1"/>
  <c r="F554" i="2" s="1"/>
  <c r="J553" i="2"/>
  <c r="N553" i="2" s="1"/>
  <c r="L553" i="2" s="1"/>
  <c r="D553" i="2"/>
  <c r="J552" i="2"/>
  <c r="N552" i="2" s="1"/>
  <c r="L552" i="2" s="1"/>
  <c r="D552" i="2"/>
  <c r="J551" i="2"/>
  <c r="N551" i="2" s="1"/>
  <c r="D551" i="2"/>
  <c r="H551" i="2" s="1"/>
  <c r="F551" i="2" s="1"/>
  <c r="N550" i="2"/>
  <c r="L550" i="2" s="1"/>
  <c r="H550" i="2"/>
  <c r="F550" i="2" s="1"/>
  <c r="N549" i="2"/>
  <c r="L549" i="2" s="1"/>
  <c r="H549" i="2"/>
  <c r="F549" i="2" s="1"/>
  <c r="J548" i="2"/>
  <c r="D548" i="2"/>
  <c r="N547" i="2"/>
  <c r="L547" i="2" s="1"/>
  <c r="H547" i="2"/>
  <c r="F547" i="2" s="1"/>
  <c r="P543" i="2"/>
  <c r="J543" i="2"/>
  <c r="D543" i="2"/>
  <c r="N541" i="2"/>
  <c r="L541" i="2" s="1"/>
  <c r="H541" i="2"/>
  <c r="F541" i="2" s="1"/>
  <c r="N540" i="2"/>
  <c r="L540" i="2" s="1"/>
  <c r="H540" i="2"/>
  <c r="F540" i="2" s="1"/>
  <c r="P535" i="2"/>
  <c r="N533" i="2"/>
  <c r="L533" i="2" s="1"/>
  <c r="H533" i="2"/>
  <c r="F533" i="2" s="1"/>
  <c r="N532" i="2"/>
  <c r="L532" i="2" s="1"/>
  <c r="H532" i="2"/>
  <c r="F532" i="2" s="1"/>
  <c r="N531" i="2"/>
  <c r="L531" i="2" s="1"/>
  <c r="H531" i="2"/>
  <c r="F531" i="2" s="1"/>
  <c r="N530" i="2"/>
  <c r="L530" i="2" s="1"/>
  <c r="H530" i="2"/>
  <c r="F530" i="2" s="1"/>
  <c r="N529" i="2"/>
  <c r="L529" i="2" s="1"/>
  <c r="H529" i="2"/>
  <c r="F529" i="2" s="1"/>
  <c r="N528" i="2"/>
  <c r="L528" i="2"/>
  <c r="H528" i="2"/>
  <c r="F528" i="2" s="1"/>
  <c r="N527" i="2"/>
  <c r="L527" i="2" s="1"/>
  <c r="H527" i="2"/>
  <c r="F527" i="2" s="1"/>
  <c r="N526" i="2"/>
  <c r="L526" i="2"/>
  <c r="H526" i="2"/>
  <c r="F526" i="2" s="1"/>
  <c r="N525" i="2"/>
  <c r="L525" i="2" s="1"/>
  <c r="H525" i="2"/>
  <c r="F525" i="2" s="1"/>
  <c r="N524" i="2"/>
  <c r="L524" i="2" s="1"/>
  <c r="J524" i="2"/>
  <c r="D524" i="2"/>
  <c r="H524" i="2" s="1"/>
  <c r="F524" i="2" s="1"/>
  <c r="J523" i="2"/>
  <c r="N523" i="2" s="1"/>
  <c r="L523" i="2" s="1"/>
  <c r="D523" i="2"/>
  <c r="H523" i="2" s="1"/>
  <c r="F523" i="2" s="1"/>
  <c r="J522" i="2"/>
  <c r="N522" i="2" s="1"/>
  <c r="L522" i="2" s="1"/>
  <c r="D522" i="2"/>
  <c r="H522" i="2" s="1"/>
  <c r="F522" i="2" s="1"/>
  <c r="J521" i="2"/>
  <c r="N521" i="2" s="1"/>
  <c r="L521" i="2" s="1"/>
  <c r="D521" i="2"/>
  <c r="J520" i="2"/>
  <c r="N520" i="2" s="1"/>
  <c r="L520" i="2" s="1"/>
  <c r="H520" i="2"/>
  <c r="F520" i="2" s="1"/>
  <c r="D520" i="2"/>
  <c r="J519" i="2"/>
  <c r="N519" i="2" s="1"/>
  <c r="D519" i="2"/>
  <c r="P517" i="2"/>
  <c r="J517" i="2"/>
  <c r="D517" i="2"/>
  <c r="N515" i="2"/>
  <c r="H515" i="2"/>
  <c r="F515" i="2" s="1"/>
  <c r="N514" i="2"/>
  <c r="L514" i="2" s="1"/>
  <c r="H514" i="2"/>
  <c r="F514" i="2" s="1"/>
  <c r="N513" i="2"/>
  <c r="L513" i="2"/>
  <c r="H513" i="2"/>
  <c r="F513" i="2"/>
  <c r="N512" i="2"/>
  <c r="L512" i="2" s="1"/>
  <c r="H512" i="2"/>
  <c r="F512" i="2"/>
  <c r="N511" i="2"/>
  <c r="L511" i="2" s="1"/>
  <c r="H511" i="2"/>
  <c r="F511" i="2" s="1"/>
  <c r="N510" i="2"/>
  <c r="L510" i="2" s="1"/>
  <c r="H510" i="2"/>
  <c r="P508" i="2"/>
  <c r="N506" i="2"/>
  <c r="H506" i="2"/>
  <c r="N505" i="2"/>
  <c r="L505" i="2" s="1"/>
  <c r="D505" i="2"/>
  <c r="H505" i="2" s="1"/>
  <c r="F505" i="2" s="1"/>
  <c r="N504" i="2"/>
  <c r="L504" i="2" s="1"/>
  <c r="H504" i="2"/>
  <c r="F504" i="2" s="1"/>
  <c r="N503" i="2"/>
  <c r="L503" i="2" s="1"/>
  <c r="H503" i="2"/>
  <c r="F503" i="2" s="1"/>
  <c r="N502" i="2"/>
  <c r="L502" i="2"/>
  <c r="H502" i="2"/>
  <c r="F502" i="2" s="1"/>
  <c r="N501" i="2"/>
  <c r="L501" i="2" s="1"/>
  <c r="H501" i="2"/>
  <c r="F501" i="2"/>
  <c r="J500" i="2"/>
  <c r="N500" i="2" s="1"/>
  <c r="L500" i="2" s="1"/>
  <c r="N499" i="2"/>
  <c r="L499" i="2"/>
  <c r="H499" i="2"/>
  <c r="F499" i="2" s="1"/>
  <c r="N498" i="2"/>
  <c r="L498" i="2" s="1"/>
  <c r="H498" i="2"/>
  <c r="F498" i="2" s="1"/>
  <c r="N497" i="2"/>
  <c r="L497" i="2" s="1"/>
  <c r="H497" i="2"/>
  <c r="F497" i="2" s="1"/>
  <c r="N496" i="2"/>
  <c r="L496" i="2" s="1"/>
  <c r="H496" i="2"/>
  <c r="F496" i="2" s="1"/>
  <c r="N495" i="2"/>
  <c r="L495" i="2" s="1"/>
  <c r="H495" i="2"/>
  <c r="F495" i="2" s="1"/>
  <c r="N494" i="2"/>
  <c r="L494" i="2"/>
  <c r="H494" i="2"/>
  <c r="F494" i="2" s="1"/>
  <c r="N493" i="2"/>
  <c r="L493" i="2" s="1"/>
  <c r="H493" i="2"/>
  <c r="F493" i="2" s="1"/>
  <c r="N492" i="2"/>
  <c r="H492" i="2"/>
  <c r="F492" i="2" s="1"/>
  <c r="N491" i="2"/>
  <c r="L491" i="2" s="1"/>
  <c r="H491" i="2"/>
  <c r="F491" i="2" s="1"/>
  <c r="N490" i="2"/>
  <c r="L490" i="2" s="1"/>
  <c r="H490" i="2"/>
  <c r="F490" i="2" s="1"/>
  <c r="N489" i="2"/>
  <c r="L489" i="2" s="1"/>
  <c r="H489" i="2"/>
  <c r="F489" i="2" s="1"/>
  <c r="N488" i="2"/>
  <c r="L488" i="2" s="1"/>
  <c r="H488" i="2"/>
  <c r="F488" i="2" s="1"/>
  <c r="N487" i="2"/>
  <c r="L487" i="2" s="1"/>
  <c r="H487" i="2"/>
  <c r="F487" i="2" s="1"/>
  <c r="N486" i="2"/>
  <c r="L486" i="2"/>
  <c r="D486" i="2"/>
  <c r="H486" i="2" s="1"/>
  <c r="F486" i="2" s="1"/>
  <c r="N485" i="2"/>
  <c r="L485" i="2" s="1"/>
  <c r="H485" i="2"/>
  <c r="F485" i="2" s="1"/>
  <c r="N484" i="2"/>
  <c r="L484" i="2"/>
  <c r="H484" i="2"/>
  <c r="F484" i="2"/>
  <c r="N483" i="2"/>
  <c r="L483" i="2" s="1"/>
  <c r="H483" i="2"/>
  <c r="F483" i="2" s="1"/>
  <c r="N482" i="2"/>
  <c r="L482" i="2" s="1"/>
  <c r="H482" i="2"/>
  <c r="F482" i="2" s="1"/>
  <c r="N481" i="2"/>
  <c r="L481" i="2" s="1"/>
  <c r="H481" i="2"/>
  <c r="F481" i="2" s="1"/>
  <c r="N480" i="2"/>
  <c r="L480" i="2" s="1"/>
  <c r="H480" i="2"/>
  <c r="F480" i="2" s="1"/>
  <c r="N479" i="2"/>
  <c r="L479" i="2"/>
  <c r="H479" i="2"/>
  <c r="F479" i="2" s="1"/>
  <c r="N478" i="2"/>
  <c r="L478" i="2" s="1"/>
  <c r="H478" i="2"/>
  <c r="F478" i="2" s="1"/>
  <c r="N477" i="2"/>
  <c r="L477" i="2" s="1"/>
  <c r="H477" i="2"/>
  <c r="F477" i="2" s="1"/>
  <c r="J476" i="2"/>
  <c r="N476" i="2" s="1"/>
  <c r="L476" i="2" s="1"/>
  <c r="H476" i="2"/>
  <c r="F476" i="2" s="1"/>
  <c r="J475" i="2"/>
  <c r="N475" i="2" s="1"/>
  <c r="L475" i="2" s="1"/>
  <c r="D475" i="2"/>
  <c r="J474" i="2"/>
  <c r="N474" i="2" s="1"/>
  <c r="L474" i="2" s="1"/>
  <c r="J473" i="2"/>
  <c r="N473" i="2" s="1"/>
  <c r="L473" i="2" s="1"/>
  <c r="N472" i="2"/>
  <c r="L472" i="2" s="1"/>
  <c r="H472" i="2"/>
  <c r="F472" i="2" s="1"/>
  <c r="N471" i="2"/>
  <c r="L471" i="2" s="1"/>
  <c r="H471" i="2"/>
  <c r="F471" i="2"/>
  <c r="J470" i="2"/>
  <c r="N470" i="2" s="1"/>
  <c r="L470" i="2" s="1"/>
  <c r="H470" i="2"/>
  <c r="F470" i="2" s="1"/>
  <c r="J469" i="2"/>
  <c r="N469" i="2" s="1"/>
  <c r="L469" i="2" s="1"/>
  <c r="J468" i="2"/>
  <c r="D468" i="2"/>
  <c r="P466" i="2"/>
  <c r="N464" i="2"/>
  <c r="L464" i="2" s="1"/>
  <c r="H464" i="2"/>
  <c r="F464" i="2" s="1"/>
  <c r="N463" i="2"/>
  <c r="L463" i="2" s="1"/>
  <c r="H463" i="2"/>
  <c r="F463" i="2"/>
  <c r="N462" i="2"/>
  <c r="L462" i="2" s="1"/>
  <c r="H462" i="2"/>
  <c r="F462" i="2" s="1"/>
  <c r="N461" i="2"/>
  <c r="L461" i="2" s="1"/>
  <c r="H461" i="2"/>
  <c r="F461" i="2" s="1"/>
  <c r="N460" i="2"/>
  <c r="L460" i="2" s="1"/>
  <c r="H460" i="2"/>
  <c r="F460" i="2" s="1"/>
  <c r="N459" i="2"/>
  <c r="L459" i="2" s="1"/>
  <c r="H459" i="2"/>
  <c r="F459" i="2" s="1"/>
  <c r="N458" i="2"/>
  <c r="L458" i="2" s="1"/>
  <c r="H458" i="2"/>
  <c r="F458" i="2" s="1"/>
  <c r="N457" i="2"/>
  <c r="L457" i="2" s="1"/>
  <c r="H457" i="2"/>
  <c r="F457" i="2" s="1"/>
  <c r="N456" i="2"/>
  <c r="L456" i="2" s="1"/>
  <c r="H456" i="2"/>
  <c r="F456" i="2" s="1"/>
  <c r="N455" i="2"/>
  <c r="L455" i="2" s="1"/>
  <c r="H455" i="2"/>
  <c r="F455" i="2" s="1"/>
  <c r="N454" i="2"/>
  <c r="L454" i="2" s="1"/>
  <c r="D454" i="2"/>
  <c r="H454" i="2" s="1"/>
  <c r="F454" i="2" s="1"/>
  <c r="N453" i="2"/>
  <c r="L453" i="2"/>
  <c r="D453" i="2"/>
  <c r="H453" i="2" s="1"/>
  <c r="F453" i="2" s="1"/>
  <c r="J452" i="2"/>
  <c r="N452" i="2" s="1"/>
  <c r="L452" i="2" s="1"/>
  <c r="J451" i="2"/>
  <c r="N451" i="2" s="1"/>
  <c r="L451" i="2" s="1"/>
  <c r="D451" i="2"/>
  <c r="J450" i="2"/>
  <c r="N450" i="2" s="1"/>
  <c r="L450" i="2" s="1"/>
  <c r="J449" i="2"/>
  <c r="N449" i="2" s="1"/>
  <c r="L449" i="2" s="1"/>
  <c r="J448" i="2"/>
  <c r="N448" i="2" s="1"/>
  <c r="L448" i="2" s="1"/>
  <c r="D448" i="2"/>
  <c r="H448" i="2" s="1"/>
  <c r="F448" i="2" s="1"/>
  <c r="N447" i="2"/>
  <c r="L447" i="2"/>
  <c r="H447" i="2"/>
  <c r="F447" i="2" s="1"/>
  <c r="J446" i="2"/>
  <c r="D446" i="2"/>
  <c r="H446" i="2" s="1"/>
  <c r="F446" i="2" s="1"/>
  <c r="P444" i="2"/>
  <c r="J444" i="2"/>
  <c r="D444" i="2"/>
  <c r="N442" i="2"/>
  <c r="L442" i="2" s="1"/>
  <c r="H442" i="2"/>
  <c r="F442" i="2" s="1"/>
  <c r="N441" i="2"/>
  <c r="L441" i="2" s="1"/>
  <c r="H441" i="2"/>
  <c r="F441" i="2" s="1"/>
  <c r="N440" i="2"/>
  <c r="N444" i="2" s="1"/>
  <c r="H440" i="2"/>
  <c r="P438" i="2"/>
  <c r="N436" i="2"/>
  <c r="L436" i="2" s="1"/>
  <c r="H436" i="2"/>
  <c r="F436" i="2" s="1"/>
  <c r="N435" i="2"/>
  <c r="L435" i="2" s="1"/>
  <c r="H435" i="2"/>
  <c r="F435" i="2" s="1"/>
  <c r="N434" i="2"/>
  <c r="L434" i="2"/>
  <c r="H434" i="2"/>
  <c r="F434" i="2" s="1"/>
  <c r="N433" i="2"/>
  <c r="L433" i="2" s="1"/>
  <c r="H433" i="2"/>
  <c r="F433" i="2" s="1"/>
  <c r="N432" i="2"/>
  <c r="L432" i="2" s="1"/>
  <c r="H432" i="2"/>
  <c r="F432" i="2" s="1"/>
  <c r="N431" i="2"/>
  <c r="L431" i="2" s="1"/>
  <c r="H431" i="2"/>
  <c r="F431" i="2" s="1"/>
  <c r="N430" i="2"/>
  <c r="L430" i="2" s="1"/>
  <c r="H430" i="2"/>
  <c r="F430" i="2" s="1"/>
  <c r="N429" i="2"/>
  <c r="L429" i="2" s="1"/>
  <c r="H429" i="2"/>
  <c r="F429" i="2"/>
  <c r="N428" i="2"/>
  <c r="L428" i="2" s="1"/>
  <c r="H428" i="2"/>
  <c r="F428" i="2" s="1"/>
  <c r="N427" i="2"/>
  <c r="L427" i="2"/>
  <c r="H427" i="2"/>
  <c r="F427" i="2"/>
  <c r="N426" i="2"/>
  <c r="L426" i="2" s="1"/>
  <c r="H426" i="2"/>
  <c r="F426" i="2" s="1"/>
  <c r="N425" i="2"/>
  <c r="L425" i="2" s="1"/>
  <c r="H425" i="2"/>
  <c r="F425" i="2" s="1"/>
  <c r="N424" i="2"/>
  <c r="L424" i="2" s="1"/>
  <c r="H424" i="2"/>
  <c r="F424" i="2" s="1"/>
  <c r="N423" i="2"/>
  <c r="L423" i="2" s="1"/>
  <c r="H423" i="2"/>
  <c r="F423" i="2" s="1"/>
  <c r="N422" i="2"/>
  <c r="L422" i="2" s="1"/>
  <c r="H422" i="2"/>
  <c r="F422" i="2" s="1"/>
  <c r="N421" i="2"/>
  <c r="L421" i="2"/>
  <c r="H421" i="2"/>
  <c r="F421" i="2"/>
  <c r="N420" i="2"/>
  <c r="L420" i="2" s="1"/>
  <c r="H420" i="2"/>
  <c r="F420" i="2" s="1"/>
  <c r="N419" i="2"/>
  <c r="L419" i="2" s="1"/>
  <c r="H419" i="2"/>
  <c r="F419" i="2" s="1"/>
  <c r="N418" i="2"/>
  <c r="L418" i="2" s="1"/>
  <c r="H418" i="2"/>
  <c r="F418" i="2"/>
  <c r="N417" i="2"/>
  <c r="L417" i="2" s="1"/>
  <c r="H417" i="2"/>
  <c r="F417" i="2" s="1"/>
  <c r="N416" i="2"/>
  <c r="L416" i="2" s="1"/>
  <c r="H416" i="2"/>
  <c r="F416" i="2" s="1"/>
  <c r="N415" i="2"/>
  <c r="L415" i="2" s="1"/>
  <c r="H415" i="2"/>
  <c r="F415" i="2" s="1"/>
  <c r="J414" i="2"/>
  <c r="N414" i="2" s="1"/>
  <c r="L414" i="2" s="1"/>
  <c r="J413" i="2"/>
  <c r="N413" i="2" s="1"/>
  <c r="L413" i="2" s="1"/>
  <c r="J412" i="2"/>
  <c r="N412" i="2" s="1"/>
  <c r="L412" i="2" s="1"/>
  <c r="H412" i="2"/>
  <c r="F412" i="2" s="1"/>
  <c r="J411" i="2"/>
  <c r="H411" i="2" s="1"/>
  <c r="F411" i="2" s="1"/>
  <c r="J410" i="2"/>
  <c r="N410" i="2" s="1"/>
  <c r="L410" i="2" s="1"/>
  <c r="N409" i="2"/>
  <c r="H409" i="2"/>
  <c r="N408" i="2"/>
  <c r="L408" i="2" s="1"/>
  <c r="H408" i="2"/>
  <c r="F408" i="2" s="1"/>
  <c r="J407" i="2"/>
  <c r="D438" i="2"/>
  <c r="P405" i="2"/>
  <c r="N403" i="2"/>
  <c r="L403" i="2" s="1"/>
  <c r="H403" i="2"/>
  <c r="F403" i="2" s="1"/>
  <c r="N402" i="2"/>
  <c r="L402" i="2" s="1"/>
  <c r="H402" i="2"/>
  <c r="F402" i="2" s="1"/>
  <c r="N401" i="2"/>
  <c r="L401" i="2" s="1"/>
  <c r="H401" i="2"/>
  <c r="F401" i="2" s="1"/>
  <c r="N400" i="2"/>
  <c r="L400" i="2" s="1"/>
  <c r="D400" i="2"/>
  <c r="H400" i="2" s="1"/>
  <c r="F400" i="2" s="1"/>
  <c r="J399" i="2"/>
  <c r="N399" i="2" s="1"/>
  <c r="L399" i="2" s="1"/>
  <c r="D399" i="2"/>
  <c r="H399" i="2" s="1"/>
  <c r="F399" i="2" s="1"/>
  <c r="J398" i="2"/>
  <c r="J405" i="2" s="1"/>
  <c r="D398" i="2"/>
  <c r="H398" i="2" s="1"/>
  <c r="F398" i="2" s="1"/>
  <c r="N397" i="2"/>
  <c r="H397" i="2"/>
  <c r="F397" i="2" s="1"/>
  <c r="P395" i="2"/>
  <c r="N393" i="2"/>
  <c r="L393" i="2" s="1"/>
  <c r="H393" i="2"/>
  <c r="F393" i="2" s="1"/>
  <c r="N392" i="2"/>
  <c r="L392" i="2" s="1"/>
  <c r="H392" i="2"/>
  <c r="F392" i="2" s="1"/>
  <c r="N391" i="2"/>
  <c r="L391" i="2" s="1"/>
  <c r="H391" i="2"/>
  <c r="F391" i="2" s="1"/>
  <c r="N390" i="2"/>
  <c r="L390" i="2" s="1"/>
  <c r="H390" i="2"/>
  <c r="F390" i="2" s="1"/>
  <c r="N389" i="2"/>
  <c r="L389" i="2" s="1"/>
  <c r="H389" i="2"/>
  <c r="F389" i="2" s="1"/>
  <c r="N388" i="2"/>
  <c r="L388" i="2" s="1"/>
  <c r="H388" i="2"/>
  <c r="F388" i="2" s="1"/>
  <c r="N387" i="2"/>
  <c r="L387" i="2" s="1"/>
  <c r="H387" i="2"/>
  <c r="F387" i="2" s="1"/>
  <c r="N386" i="2"/>
  <c r="L386" i="2" s="1"/>
  <c r="H386" i="2"/>
  <c r="F386" i="2" s="1"/>
  <c r="N385" i="2"/>
  <c r="L385" i="2" s="1"/>
  <c r="H385" i="2"/>
  <c r="F385" i="2" s="1"/>
  <c r="N384" i="2"/>
  <c r="L384" i="2" s="1"/>
  <c r="H384" i="2"/>
  <c r="F384" i="2" s="1"/>
  <c r="N383" i="2"/>
  <c r="L383" i="2" s="1"/>
  <c r="H383" i="2"/>
  <c r="F383" i="2" s="1"/>
  <c r="N382" i="2"/>
  <c r="L382" i="2" s="1"/>
  <c r="H382" i="2"/>
  <c r="F382" i="2" s="1"/>
  <c r="N381" i="2"/>
  <c r="L381" i="2" s="1"/>
  <c r="H381" i="2"/>
  <c r="F381" i="2" s="1"/>
  <c r="N380" i="2"/>
  <c r="L380" i="2" s="1"/>
  <c r="H380" i="2"/>
  <c r="F380" i="2" s="1"/>
  <c r="N379" i="2"/>
  <c r="L379" i="2" s="1"/>
  <c r="H379" i="2"/>
  <c r="F379" i="2" s="1"/>
  <c r="N378" i="2"/>
  <c r="L378" i="2" s="1"/>
  <c r="H378" i="2"/>
  <c r="F378" i="2" s="1"/>
  <c r="N377" i="2"/>
  <c r="L377" i="2" s="1"/>
  <c r="H377" i="2"/>
  <c r="F377" i="2" s="1"/>
  <c r="N376" i="2"/>
  <c r="L376" i="2"/>
  <c r="H376" i="2"/>
  <c r="F376" i="2" s="1"/>
  <c r="N375" i="2"/>
  <c r="L375" i="2" s="1"/>
  <c r="H375" i="2"/>
  <c r="F375" i="2"/>
  <c r="N374" i="2"/>
  <c r="L374" i="2"/>
  <c r="H374" i="2"/>
  <c r="F374" i="2" s="1"/>
  <c r="N373" i="2"/>
  <c r="L373" i="2"/>
  <c r="H373" i="2"/>
  <c r="F373" i="2"/>
  <c r="N372" i="2"/>
  <c r="L372" i="2" s="1"/>
  <c r="H372" i="2"/>
  <c r="F372" i="2" s="1"/>
  <c r="N371" i="2"/>
  <c r="L371" i="2" s="1"/>
  <c r="H371" i="2"/>
  <c r="F371" i="2" s="1"/>
  <c r="N370" i="2"/>
  <c r="L370" i="2" s="1"/>
  <c r="H370" i="2"/>
  <c r="F370" i="2" s="1"/>
  <c r="N369" i="2"/>
  <c r="L369" i="2" s="1"/>
  <c r="H369" i="2"/>
  <c r="F369" i="2" s="1"/>
  <c r="N368" i="2"/>
  <c r="L368" i="2" s="1"/>
  <c r="H368" i="2"/>
  <c r="F368" i="2" s="1"/>
  <c r="N367" i="2"/>
  <c r="L367" i="2" s="1"/>
  <c r="H367" i="2"/>
  <c r="F367" i="2" s="1"/>
  <c r="N366" i="2"/>
  <c r="L366" i="2" s="1"/>
  <c r="H366" i="2"/>
  <c r="F366" i="2" s="1"/>
  <c r="N365" i="2"/>
  <c r="L365" i="2" s="1"/>
  <c r="H365" i="2"/>
  <c r="F365" i="2" s="1"/>
  <c r="N364" i="2"/>
  <c r="L364" i="2" s="1"/>
  <c r="H364" i="2"/>
  <c r="F364" i="2" s="1"/>
  <c r="N363" i="2"/>
  <c r="L363" i="2" s="1"/>
  <c r="H363" i="2"/>
  <c r="F363" i="2" s="1"/>
  <c r="N362" i="2"/>
  <c r="L362" i="2" s="1"/>
  <c r="H362" i="2"/>
  <c r="F362" i="2" s="1"/>
  <c r="N361" i="2"/>
  <c r="L361" i="2"/>
  <c r="H361" i="2"/>
  <c r="F361" i="2" s="1"/>
  <c r="N360" i="2"/>
  <c r="L360" i="2" s="1"/>
  <c r="H360" i="2"/>
  <c r="F360" i="2" s="1"/>
  <c r="N359" i="2"/>
  <c r="L359" i="2" s="1"/>
  <c r="H359" i="2"/>
  <c r="F359" i="2" s="1"/>
  <c r="N358" i="2"/>
  <c r="L358" i="2"/>
  <c r="H358" i="2"/>
  <c r="F358" i="2" s="1"/>
  <c r="N357" i="2"/>
  <c r="L357" i="2" s="1"/>
  <c r="H357" i="2"/>
  <c r="F357" i="2" s="1"/>
  <c r="N356" i="2"/>
  <c r="L356" i="2" s="1"/>
  <c r="H356" i="2"/>
  <c r="F356" i="2" s="1"/>
  <c r="J355" i="2"/>
  <c r="N355" i="2" s="1"/>
  <c r="L355" i="2" s="1"/>
  <c r="J354" i="2"/>
  <c r="N354" i="2" s="1"/>
  <c r="L354" i="2" s="1"/>
  <c r="J353" i="2"/>
  <c r="N353" i="2" s="1"/>
  <c r="L353" i="2" s="1"/>
  <c r="J352" i="2"/>
  <c r="N352" i="2" s="1"/>
  <c r="L352" i="2" s="1"/>
  <c r="J351" i="2"/>
  <c r="N351" i="2" s="1"/>
  <c r="L351" i="2" s="1"/>
  <c r="D351" i="2"/>
  <c r="H351" i="2" s="1"/>
  <c r="F351" i="2" s="1"/>
  <c r="N350" i="2"/>
  <c r="L350" i="2"/>
  <c r="H350" i="2"/>
  <c r="F350" i="2" s="1"/>
  <c r="N349" i="2"/>
  <c r="L349" i="2" s="1"/>
  <c r="H349" i="2"/>
  <c r="F349" i="2" s="1"/>
  <c r="J348" i="2"/>
  <c r="N348" i="2" s="1"/>
  <c r="L348" i="2" s="1"/>
  <c r="D348" i="2"/>
  <c r="J347" i="2"/>
  <c r="N347" i="2" s="1"/>
  <c r="L347" i="2" s="1"/>
  <c r="J346" i="2"/>
  <c r="N345" i="2"/>
  <c r="L345" i="2" s="1"/>
  <c r="H345" i="2"/>
  <c r="F345" i="2" s="1"/>
  <c r="P343" i="2"/>
  <c r="N341" i="2"/>
  <c r="L341" i="2" s="1"/>
  <c r="H341" i="2"/>
  <c r="F341" i="2" s="1"/>
  <c r="N340" i="2"/>
  <c r="L340" i="2" s="1"/>
  <c r="H340" i="2"/>
  <c r="F340" i="2" s="1"/>
  <c r="N339" i="2"/>
  <c r="L339" i="2"/>
  <c r="H339" i="2"/>
  <c r="F339" i="2" s="1"/>
  <c r="N338" i="2"/>
  <c r="L338" i="2" s="1"/>
  <c r="H338" i="2"/>
  <c r="F338" i="2" s="1"/>
  <c r="N337" i="2"/>
  <c r="L337" i="2" s="1"/>
  <c r="H337" i="2"/>
  <c r="F337" i="2" s="1"/>
  <c r="N336" i="2"/>
  <c r="L336" i="2" s="1"/>
  <c r="H336" i="2"/>
  <c r="F336" i="2" s="1"/>
  <c r="N335" i="2"/>
  <c r="L335" i="2" s="1"/>
  <c r="H335" i="2"/>
  <c r="F335" i="2" s="1"/>
  <c r="N334" i="2"/>
  <c r="L334" i="2" s="1"/>
  <c r="H334" i="2"/>
  <c r="F334" i="2" s="1"/>
  <c r="L333" i="2"/>
  <c r="J333" i="2"/>
  <c r="N333" i="2" s="1"/>
  <c r="D333" i="2"/>
  <c r="N332" i="2"/>
  <c r="L332" i="2" s="1"/>
  <c r="N331" i="2"/>
  <c r="L331" i="2" s="1"/>
  <c r="H331" i="2"/>
  <c r="F331" i="2" s="1"/>
  <c r="J330" i="2"/>
  <c r="N330" i="2" s="1"/>
  <c r="L330" i="2" s="1"/>
  <c r="D330" i="2"/>
  <c r="N329" i="2"/>
  <c r="L329" i="2" s="1"/>
  <c r="H329" i="2"/>
  <c r="F329" i="2" s="1"/>
  <c r="N328" i="2"/>
  <c r="L328" i="2" s="1"/>
  <c r="H328" i="2"/>
  <c r="F328" i="2" s="1"/>
  <c r="N327" i="2"/>
  <c r="L327" i="2" s="1"/>
  <c r="H327" i="2"/>
  <c r="F327" i="2" s="1"/>
  <c r="N326" i="2"/>
  <c r="L326" i="2" s="1"/>
  <c r="H326" i="2"/>
  <c r="F326" i="2" s="1"/>
  <c r="N325" i="2"/>
  <c r="L325" i="2" s="1"/>
  <c r="H325" i="2"/>
  <c r="P323" i="2"/>
  <c r="N321" i="2"/>
  <c r="H321" i="2"/>
  <c r="F321" i="2"/>
  <c r="N320" i="2"/>
  <c r="L320" i="2" s="1"/>
  <c r="D320" i="2"/>
  <c r="H320" i="2" s="1"/>
  <c r="F320" i="2" s="1"/>
  <c r="N319" i="2"/>
  <c r="L319" i="2" s="1"/>
  <c r="H319" i="2"/>
  <c r="F319" i="2" s="1"/>
  <c r="N318" i="2"/>
  <c r="L318" i="2" s="1"/>
  <c r="H318" i="2"/>
  <c r="F318" i="2" s="1"/>
  <c r="N317" i="2"/>
  <c r="L317" i="2" s="1"/>
  <c r="H317" i="2"/>
  <c r="F317" i="2" s="1"/>
  <c r="N316" i="2"/>
  <c r="L316" i="2" s="1"/>
  <c r="H316" i="2"/>
  <c r="F316" i="2" s="1"/>
  <c r="N315" i="2"/>
  <c r="L315" i="2" s="1"/>
  <c r="H315" i="2"/>
  <c r="F315" i="2" s="1"/>
  <c r="N314" i="2"/>
  <c r="L314" i="2" s="1"/>
  <c r="H314" i="2"/>
  <c r="F314" i="2" s="1"/>
  <c r="N313" i="2"/>
  <c r="L313" i="2" s="1"/>
  <c r="H313" i="2"/>
  <c r="F313" i="2" s="1"/>
  <c r="N312" i="2"/>
  <c r="L312" i="2" s="1"/>
  <c r="H312" i="2"/>
  <c r="F312" i="2" s="1"/>
  <c r="J311" i="2"/>
  <c r="N311" i="2" s="1"/>
  <c r="L311" i="2" s="1"/>
  <c r="D311" i="2"/>
  <c r="H311" i="2" s="1"/>
  <c r="F311" i="2" s="1"/>
  <c r="J310" i="2"/>
  <c r="N310" i="2" s="1"/>
  <c r="L310" i="2" s="1"/>
  <c r="D310" i="2"/>
  <c r="H310" i="2" s="1"/>
  <c r="F310" i="2" s="1"/>
  <c r="J309" i="2"/>
  <c r="N309" i="2" s="1"/>
  <c r="L309" i="2" s="1"/>
  <c r="D309" i="2"/>
  <c r="J308" i="2"/>
  <c r="N308" i="2" s="1"/>
  <c r="L308" i="2" s="1"/>
  <c r="D308" i="2"/>
  <c r="H308" i="2" s="1"/>
  <c r="F308" i="2" s="1"/>
  <c r="J307" i="2"/>
  <c r="N307" i="2" s="1"/>
  <c r="L307" i="2" s="1"/>
  <c r="D307" i="2"/>
  <c r="H307" i="2" s="1"/>
  <c r="F307" i="2" s="1"/>
  <c r="N306" i="2"/>
  <c r="L306" i="2" s="1"/>
  <c r="H306" i="2"/>
  <c r="F306" i="2" s="1"/>
  <c r="J305" i="2"/>
  <c r="N305" i="2" s="1"/>
  <c r="L305" i="2" s="1"/>
  <c r="D305" i="2"/>
  <c r="J301" i="2"/>
  <c r="N301" i="2" s="1"/>
  <c r="L301" i="2" s="1"/>
  <c r="D301" i="2"/>
  <c r="J300" i="2"/>
  <c r="N300" i="2" s="1"/>
  <c r="D300" i="2"/>
  <c r="J299" i="2"/>
  <c r="N299" i="2" s="1"/>
  <c r="L299" i="2" s="1"/>
  <c r="D299" i="2"/>
  <c r="J298" i="2"/>
  <c r="N298" i="2" s="1"/>
  <c r="L298" i="2" s="1"/>
  <c r="D298" i="2"/>
  <c r="J297" i="2"/>
  <c r="N297" i="2" s="1"/>
  <c r="L297" i="2" s="1"/>
  <c r="D297" i="2"/>
  <c r="J296" i="2"/>
  <c r="D296" i="2"/>
  <c r="P294" i="2"/>
  <c r="N292" i="2"/>
  <c r="L292" i="2" s="1"/>
  <c r="H292" i="2"/>
  <c r="F292" i="2" s="1"/>
  <c r="N291" i="2"/>
  <c r="L291" i="2" s="1"/>
  <c r="H291" i="2"/>
  <c r="F291" i="2" s="1"/>
  <c r="N290" i="2"/>
  <c r="L290" i="2" s="1"/>
  <c r="H290" i="2"/>
  <c r="F290" i="2" s="1"/>
  <c r="N289" i="2"/>
  <c r="L289" i="2" s="1"/>
  <c r="H289" i="2"/>
  <c r="F289" i="2" s="1"/>
  <c r="N288" i="2"/>
  <c r="L288" i="2" s="1"/>
  <c r="H288" i="2"/>
  <c r="F288" i="2" s="1"/>
  <c r="N287" i="2"/>
  <c r="L287" i="2" s="1"/>
  <c r="H287" i="2"/>
  <c r="F287" i="2" s="1"/>
  <c r="N286" i="2"/>
  <c r="L286" i="2" s="1"/>
  <c r="H286" i="2"/>
  <c r="F286" i="2" s="1"/>
  <c r="N285" i="2"/>
  <c r="L285" i="2" s="1"/>
  <c r="D285" i="2"/>
  <c r="H285" i="2" s="1"/>
  <c r="F285" i="2" s="1"/>
  <c r="N284" i="2"/>
  <c r="L284" i="2" s="1"/>
  <c r="H284" i="2"/>
  <c r="F284" i="2" s="1"/>
  <c r="N283" i="2"/>
  <c r="L283" i="2" s="1"/>
  <c r="H283" i="2"/>
  <c r="F283" i="2" s="1"/>
  <c r="N282" i="2"/>
  <c r="L282" i="2" s="1"/>
  <c r="H282" i="2"/>
  <c r="F282" i="2" s="1"/>
  <c r="N281" i="2"/>
  <c r="L281" i="2" s="1"/>
  <c r="H281" i="2"/>
  <c r="F281" i="2" s="1"/>
  <c r="N280" i="2"/>
  <c r="L280" i="2" s="1"/>
  <c r="H280" i="2"/>
  <c r="F280" i="2" s="1"/>
  <c r="N279" i="2"/>
  <c r="L279" i="2" s="1"/>
  <c r="H279" i="2"/>
  <c r="F279" i="2" s="1"/>
  <c r="N278" i="2"/>
  <c r="L278" i="2" s="1"/>
  <c r="H278" i="2"/>
  <c r="F278" i="2" s="1"/>
  <c r="N277" i="2"/>
  <c r="L277" i="2" s="1"/>
  <c r="H277" i="2"/>
  <c r="F277" i="2" s="1"/>
  <c r="N276" i="2"/>
  <c r="L276" i="2" s="1"/>
  <c r="H276" i="2"/>
  <c r="F276" i="2" s="1"/>
  <c r="N275" i="2"/>
  <c r="L275" i="2"/>
  <c r="H275" i="2"/>
  <c r="F275" i="2" s="1"/>
  <c r="N274" i="2"/>
  <c r="L274" i="2" s="1"/>
  <c r="H274" i="2"/>
  <c r="F274" i="2"/>
  <c r="N273" i="2"/>
  <c r="L273" i="2" s="1"/>
  <c r="H273" i="2"/>
  <c r="F273" i="2" s="1"/>
  <c r="N272" i="2"/>
  <c r="L272" i="2" s="1"/>
  <c r="H272" i="2"/>
  <c r="F272" i="2" s="1"/>
  <c r="N271" i="2"/>
  <c r="L271" i="2" s="1"/>
  <c r="H271" i="2"/>
  <c r="F271" i="2" s="1"/>
  <c r="N270" i="2"/>
  <c r="L270" i="2" s="1"/>
  <c r="H270" i="2"/>
  <c r="F270" i="2" s="1"/>
  <c r="N269" i="2"/>
  <c r="L269" i="2" s="1"/>
  <c r="J268" i="2"/>
  <c r="N268" i="2" s="1"/>
  <c r="L268" i="2" s="1"/>
  <c r="D268" i="2"/>
  <c r="N267" i="2"/>
  <c r="L267" i="2" s="1"/>
  <c r="N266" i="2"/>
  <c r="L266" i="2" s="1"/>
  <c r="H266" i="2"/>
  <c r="F266" i="2" s="1"/>
  <c r="J265" i="2"/>
  <c r="N265" i="2" s="1"/>
  <c r="L265" i="2" s="1"/>
  <c r="D265" i="2"/>
  <c r="N264" i="2"/>
  <c r="L264" i="2" s="1"/>
  <c r="J264" i="2"/>
  <c r="H264" i="2" s="1"/>
  <c r="F264" i="2" s="1"/>
  <c r="N263" i="2"/>
  <c r="L263" i="2" s="1"/>
  <c r="N262" i="2"/>
  <c r="H262" i="2"/>
  <c r="P260" i="2"/>
  <c r="N258" i="2"/>
  <c r="L258" i="2" s="1"/>
  <c r="D258" i="2"/>
  <c r="H258" i="2" s="1"/>
  <c r="F258" i="2" s="1"/>
  <c r="N257" i="2"/>
  <c r="L257" i="2" s="1"/>
  <c r="D257" i="2"/>
  <c r="H257" i="2" s="1"/>
  <c r="F257" i="2" s="1"/>
  <c r="N256" i="2"/>
  <c r="L256" i="2" s="1"/>
  <c r="H256" i="2"/>
  <c r="F256" i="2" s="1"/>
  <c r="N255" i="2"/>
  <c r="L255" i="2" s="1"/>
  <c r="H255" i="2"/>
  <c r="F255" i="2" s="1"/>
  <c r="N254" i="2"/>
  <c r="L254" i="2" s="1"/>
  <c r="H254" i="2"/>
  <c r="F254" i="2" s="1"/>
  <c r="N253" i="2"/>
  <c r="L253" i="2" s="1"/>
  <c r="H253" i="2"/>
  <c r="F253" i="2" s="1"/>
  <c r="N252" i="2"/>
  <c r="L252" i="2" s="1"/>
  <c r="H252" i="2"/>
  <c r="F252" i="2" s="1"/>
  <c r="N251" i="2"/>
  <c r="L251" i="2" s="1"/>
  <c r="H251" i="2"/>
  <c r="F251" i="2" s="1"/>
  <c r="N250" i="2"/>
  <c r="L250" i="2" s="1"/>
  <c r="H250" i="2"/>
  <c r="F250" i="2" s="1"/>
  <c r="N249" i="2"/>
  <c r="L249" i="2" s="1"/>
  <c r="H249" i="2"/>
  <c r="F249" i="2" s="1"/>
  <c r="N248" i="2"/>
  <c r="L248" i="2" s="1"/>
  <c r="H248" i="2"/>
  <c r="F248" i="2" s="1"/>
  <c r="N247" i="2"/>
  <c r="L247" i="2" s="1"/>
  <c r="H247" i="2"/>
  <c r="F247" i="2" s="1"/>
  <c r="N246" i="2"/>
  <c r="L246" i="2" s="1"/>
  <c r="H246" i="2"/>
  <c r="F246" i="2" s="1"/>
  <c r="N245" i="2"/>
  <c r="L245" i="2" s="1"/>
  <c r="H245" i="2"/>
  <c r="F245" i="2" s="1"/>
  <c r="N244" i="2"/>
  <c r="L244" i="2" s="1"/>
  <c r="H244" i="2"/>
  <c r="F244" i="2" s="1"/>
  <c r="N243" i="2"/>
  <c r="L243" i="2" s="1"/>
  <c r="H243" i="2"/>
  <c r="F243" i="2"/>
  <c r="N242" i="2"/>
  <c r="L242" i="2" s="1"/>
  <c r="H242" i="2"/>
  <c r="F242" i="2" s="1"/>
  <c r="N241" i="2"/>
  <c r="L241" i="2"/>
  <c r="H241" i="2"/>
  <c r="F241" i="2" s="1"/>
  <c r="N240" i="2"/>
  <c r="L240" i="2" s="1"/>
  <c r="H240" i="2"/>
  <c r="F240" i="2" s="1"/>
  <c r="N239" i="2"/>
  <c r="L239" i="2"/>
  <c r="H239" i="2"/>
  <c r="F239" i="2" s="1"/>
  <c r="N238" i="2"/>
  <c r="L238" i="2" s="1"/>
  <c r="H238" i="2"/>
  <c r="F238" i="2" s="1"/>
  <c r="N237" i="2"/>
  <c r="L237" i="2" s="1"/>
  <c r="H237" i="2"/>
  <c r="F237" i="2" s="1"/>
  <c r="N236" i="2"/>
  <c r="L236" i="2"/>
  <c r="H236" i="2"/>
  <c r="F236" i="2" s="1"/>
  <c r="N235" i="2"/>
  <c r="L235" i="2" s="1"/>
  <c r="J235" i="2"/>
  <c r="D235" i="2"/>
  <c r="N234" i="2"/>
  <c r="L234" i="2" s="1"/>
  <c r="H234" i="2"/>
  <c r="F234" i="2" s="1"/>
  <c r="N233" i="2"/>
  <c r="L233" i="2" s="1"/>
  <c r="H233" i="2"/>
  <c r="F233" i="2" s="1"/>
  <c r="J232" i="2"/>
  <c r="N232" i="2" s="1"/>
  <c r="L232" i="2" s="1"/>
  <c r="N231" i="2"/>
  <c r="L231" i="2" s="1"/>
  <c r="D231" i="2"/>
  <c r="H231" i="2" s="1"/>
  <c r="F231" i="2" s="1"/>
  <c r="N230" i="2"/>
  <c r="L230" i="2" s="1"/>
  <c r="H230" i="2"/>
  <c r="F230" i="2" s="1"/>
  <c r="N229" i="2"/>
  <c r="L229" i="2" s="1"/>
  <c r="H229" i="2"/>
  <c r="F229" i="2" s="1"/>
  <c r="N228" i="2"/>
  <c r="L228" i="2" s="1"/>
  <c r="H228" i="2"/>
  <c r="F228" i="2" s="1"/>
  <c r="N227" i="2"/>
  <c r="L227" i="2"/>
  <c r="H227" i="2"/>
  <c r="F227" i="2" s="1"/>
  <c r="N226" i="2"/>
  <c r="L226" i="2" s="1"/>
  <c r="H226" i="2"/>
  <c r="F226" i="2" s="1"/>
  <c r="J225" i="2"/>
  <c r="N225" i="2" s="1"/>
  <c r="L225" i="2" s="1"/>
  <c r="D225" i="2"/>
  <c r="N224" i="2"/>
  <c r="L224" i="2" s="1"/>
  <c r="H224" i="2"/>
  <c r="F224" i="2" s="1"/>
  <c r="J223" i="2"/>
  <c r="D223" i="2"/>
  <c r="P221" i="2"/>
  <c r="N219" i="2"/>
  <c r="L219" i="2" s="1"/>
  <c r="H219" i="2"/>
  <c r="F219" i="2" s="1"/>
  <c r="N218" i="2"/>
  <c r="L218" i="2"/>
  <c r="H218" i="2"/>
  <c r="F218" i="2" s="1"/>
  <c r="N217" i="2"/>
  <c r="L217" i="2" s="1"/>
  <c r="H217" i="2"/>
  <c r="F217" i="2" s="1"/>
  <c r="N216" i="2"/>
  <c r="L216" i="2" s="1"/>
  <c r="H216" i="2"/>
  <c r="F216" i="2" s="1"/>
  <c r="N215" i="2"/>
  <c r="L215" i="2" s="1"/>
  <c r="H215" i="2"/>
  <c r="F215" i="2" s="1"/>
  <c r="J214" i="2"/>
  <c r="N214" i="2" s="1"/>
  <c r="L214" i="2" s="1"/>
  <c r="D214" i="2"/>
  <c r="J213" i="2"/>
  <c r="N213" i="2" s="1"/>
  <c r="L213" i="2" s="1"/>
  <c r="D213" i="2"/>
  <c r="J212" i="2"/>
  <c r="D212" i="2"/>
  <c r="N211" i="2"/>
  <c r="L211" i="2" s="1"/>
  <c r="H211" i="2"/>
  <c r="F211" i="2" s="1"/>
  <c r="P209" i="2"/>
  <c r="N207" i="2"/>
  <c r="L207" i="2" s="1"/>
  <c r="H207" i="2"/>
  <c r="F207" i="2" s="1"/>
  <c r="J206" i="2"/>
  <c r="N206" i="2" s="1"/>
  <c r="L206" i="2" s="1"/>
  <c r="D206" i="2"/>
  <c r="J205" i="2"/>
  <c r="N205" i="2" s="1"/>
  <c r="L205" i="2" s="1"/>
  <c r="D205" i="2"/>
  <c r="J204" i="2"/>
  <c r="N204" i="2" s="1"/>
  <c r="L204" i="2" s="1"/>
  <c r="D204" i="2"/>
  <c r="J203" i="2"/>
  <c r="D203" i="2"/>
  <c r="P199" i="2"/>
  <c r="H197" i="2"/>
  <c r="F197" i="2" s="1"/>
  <c r="H196" i="2"/>
  <c r="F196" i="2" s="1"/>
  <c r="D195" i="2"/>
  <c r="H195" i="2" s="1"/>
  <c r="F195" i="2" s="1"/>
  <c r="H194" i="2"/>
  <c r="F194" i="2" s="1"/>
  <c r="H193" i="2"/>
  <c r="F193" i="2" s="1"/>
  <c r="H192" i="2"/>
  <c r="F192" i="2" s="1"/>
  <c r="D192" i="2"/>
  <c r="H191" i="2"/>
  <c r="F191" i="2" s="1"/>
  <c r="H190" i="2"/>
  <c r="F190" i="2" s="1"/>
  <c r="H189" i="2"/>
  <c r="F189" i="2" s="1"/>
  <c r="H188" i="2"/>
  <c r="H187" i="2"/>
  <c r="F187" i="2" s="1"/>
  <c r="D186" i="2"/>
  <c r="D185" i="2"/>
  <c r="D184" i="2"/>
  <c r="H184" i="2" s="1"/>
  <c r="F184" i="2" s="1"/>
  <c r="D183" i="2"/>
  <c r="D181" i="2"/>
  <c r="H179" i="2"/>
  <c r="F179" i="2" s="1"/>
  <c r="H178" i="2"/>
  <c r="F178" i="2" s="1"/>
  <c r="H177" i="2"/>
  <c r="F177" i="2" s="1"/>
  <c r="H176" i="2"/>
  <c r="F176" i="2" s="1"/>
  <c r="P174" i="2"/>
  <c r="J174" i="2"/>
  <c r="D174" i="2"/>
  <c r="N172" i="2"/>
  <c r="L172" i="2" s="1"/>
  <c r="H172" i="2"/>
  <c r="F172" i="2" s="1"/>
  <c r="N171" i="2"/>
  <c r="L171" i="2" s="1"/>
  <c r="H171" i="2"/>
  <c r="F171" i="2" s="1"/>
  <c r="N170" i="2"/>
  <c r="L170" i="2" s="1"/>
  <c r="H170" i="2"/>
  <c r="F170" i="2"/>
  <c r="N169" i="2"/>
  <c r="L169" i="2" s="1"/>
  <c r="H169" i="2"/>
  <c r="F169" i="2" s="1"/>
  <c r="P167" i="2"/>
  <c r="J167" i="2"/>
  <c r="N165" i="2"/>
  <c r="L165" i="2" s="1"/>
  <c r="D165" i="2"/>
  <c r="N164" i="2"/>
  <c r="L164" i="2" s="1"/>
  <c r="N163" i="2"/>
  <c r="L163" i="2" s="1"/>
  <c r="H163" i="2"/>
  <c r="F163" i="2" s="1"/>
  <c r="N162" i="2"/>
  <c r="L162" i="2" s="1"/>
  <c r="H162" i="2"/>
  <c r="F162" i="2" s="1"/>
  <c r="N161" i="2"/>
  <c r="L161" i="2" s="1"/>
  <c r="H161" i="2"/>
  <c r="F161" i="2" s="1"/>
  <c r="N160" i="2"/>
  <c r="L160" i="2" s="1"/>
  <c r="H160" i="2"/>
  <c r="F160" i="2" s="1"/>
  <c r="N159" i="2"/>
  <c r="L159" i="2" s="1"/>
  <c r="H159" i="2"/>
  <c r="F159" i="2" s="1"/>
  <c r="N158" i="2"/>
  <c r="L158" i="2" s="1"/>
  <c r="N157" i="2"/>
  <c r="L157" i="2" s="1"/>
  <c r="H157" i="2"/>
  <c r="F157" i="2" s="1"/>
  <c r="N156" i="2"/>
  <c r="L156" i="2" s="1"/>
  <c r="D156" i="2"/>
  <c r="P154" i="2"/>
  <c r="N152" i="2"/>
  <c r="L152" i="2" s="1"/>
  <c r="H152" i="2"/>
  <c r="F152" i="2" s="1"/>
  <c r="N151" i="2"/>
  <c r="L151" i="2" s="1"/>
  <c r="H151" i="2"/>
  <c r="F151" i="2" s="1"/>
  <c r="N150" i="2"/>
  <c r="L150" i="2" s="1"/>
  <c r="H150" i="2"/>
  <c r="F150" i="2" s="1"/>
  <c r="N149" i="2"/>
  <c r="L149" i="2" s="1"/>
  <c r="H149" i="2"/>
  <c r="F149" i="2" s="1"/>
  <c r="N148" i="2"/>
  <c r="L148" i="2" s="1"/>
  <c r="H148" i="2"/>
  <c r="F148" i="2" s="1"/>
  <c r="N147" i="2"/>
  <c r="L147" i="2" s="1"/>
  <c r="H147" i="2"/>
  <c r="F147" i="2" s="1"/>
  <c r="N146" i="2"/>
  <c r="L146" i="2" s="1"/>
  <c r="H146" i="2"/>
  <c r="F146" i="2" s="1"/>
  <c r="N145" i="2"/>
  <c r="L145" i="2" s="1"/>
  <c r="H145" i="2"/>
  <c r="F145" i="2" s="1"/>
  <c r="J144" i="2"/>
  <c r="N144" i="2" s="1"/>
  <c r="L144" i="2" s="1"/>
  <c r="D144" i="2"/>
  <c r="J143" i="2"/>
  <c r="N143" i="2" s="1"/>
  <c r="L143" i="2" s="1"/>
  <c r="D143" i="2"/>
  <c r="J142" i="2"/>
  <c r="N142" i="2" s="1"/>
  <c r="L142" i="2" s="1"/>
  <c r="D142" i="2"/>
  <c r="J141" i="2"/>
  <c r="N141" i="2" s="1"/>
  <c r="L141" i="2" s="1"/>
  <c r="D141" i="2"/>
  <c r="J140" i="2"/>
  <c r="N140" i="2" s="1"/>
  <c r="L140" i="2" s="1"/>
  <c r="D140" i="2"/>
  <c r="J139" i="2"/>
  <c r="N139" i="2" s="1"/>
  <c r="L139" i="2" s="1"/>
  <c r="D139" i="2"/>
  <c r="J138" i="2"/>
  <c r="D138" i="2"/>
  <c r="P136" i="2"/>
  <c r="N134" i="2"/>
  <c r="L134" i="2" s="1"/>
  <c r="H134" i="2"/>
  <c r="F134" i="2" s="1"/>
  <c r="N133" i="2"/>
  <c r="L133" i="2" s="1"/>
  <c r="H133" i="2"/>
  <c r="F133" i="2"/>
  <c r="N132" i="2"/>
  <c r="L132" i="2" s="1"/>
  <c r="H132" i="2"/>
  <c r="F132" i="2" s="1"/>
  <c r="N131" i="2"/>
  <c r="L131" i="2" s="1"/>
  <c r="H131" i="2"/>
  <c r="F131" i="2" s="1"/>
  <c r="N130" i="2"/>
  <c r="L130" i="2" s="1"/>
  <c r="H130" i="2"/>
  <c r="F130" i="2" s="1"/>
  <c r="N129" i="2"/>
  <c r="L129" i="2" s="1"/>
  <c r="H129" i="2"/>
  <c r="F129" i="2" s="1"/>
  <c r="N128" i="2"/>
  <c r="L128" i="2" s="1"/>
  <c r="H128" i="2"/>
  <c r="F128" i="2" s="1"/>
  <c r="N127" i="2"/>
  <c r="L127" i="2" s="1"/>
  <c r="H127" i="2"/>
  <c r="F127" i="2" s="1"/>
  <c r="N126" i="2"/>
  <c r="L126" i="2" s="1"/>
  <c r="H126" i="2"/>
  <c r="F126" i="2" s="1"/>
  <c r="N125" i="2"/>
  <c r="L125" i="2" s="1"/>
  <c r="H125" i="2"/>
  <c r="F125" i="2" s="1"/>
  <c r="J124" i="2"/>
  <c r="N124" i="2" s="1"/>
  <c r="L124" i="2" s="1"/>
  <c r="D124" i="2"/>
  <c r="J123" i="2"/>
  <c r="N123" i="2" s="1"/>
  <c r="L123" i="2" s="1"/>
  <c r="D123" i="2"/>
  <c r="H123" i="2" s="1"/>
  <c r="F123" i="2" s="1"/>
  <c r="J122" i="2"/>
  <c r="N122" i="2" s="1"/>
  <c r="L122" i="2" s="1"/>
  <c r="D122" i="2"/>
  <c r="J121" i="2"/>
  <c r="N121" i="2" s="1"/>
  <c r="L121" i="2" s="1"/>
  <c r="D121" i="2"/>
  <c r="H121" i="2" s="1"/>
  <c r="F121" i="2" s="1"/>
  <c r="J120" i="2"/>
  <c r="N120" i="2" s="1"/>
  <c r="L120" i="2" s="1"/>
  <c r="D120" i="2"/>
  <c r="J119" i="2"/>
  <c r="N119" i="2" s="1"/>
  <c r="L119" i="2" s="1"/>
  <c r="D119" i="2"/>
  <c r="P117" i="2"/>
  <c r="N115" i="2"/>
  <c r="L115" i="2" s="1"/>
  <c r="H115" i="2"/>
  <c r="F115" i="2" s="1"/>
  <c r="N114" i="2"/>
  <c r="H114" i="2"/>
  <c r="F114" i="2" s="1"/>
  <c r="N113" i="2"/>
  <c r="L113" i="2"/>
  <c r="H113" i="2"/>
  <c r="F113" i="2" s="1"/>
  <c r="N112" i="2"/>
  <c r="L112" i="2" s="1"/>
  <c r="H112" i="2"/>
  <c r="F112" i="2" s="1"/>
  <c r="N111" i="2"/>
  <c r="L111" i="2" s="1"/>
  <c r="H111" i="2"/>
  <c r="F111" i="2" s="1"/>
  <c r="J110" i="2"/>
  <c r="N110" i="2" s="1"/>
  <c r="L110" i="2" s="1"/>
  <c r="D110" i="2"/>
  <c r="J109" i="2"/>
  <c r="N109" i="2" s="1"/>
  <c r="L109" i="2" s="1"/>
  <c r="D109" i="2"/>
  <c r="J108" i="2"/>
  <c r="N108" i="2" s="1"/>
  <c r="L108" i="2" s="1"/>
  <c r="D108" i="2"/>
  <c r="J107" i="2"/>
  <c r="N107" i="2" s="1"/>
  <c r="L107" i="2" s="1"/>
  <c r="D107" i="2"/>
  <c r="N106" i="2"/>
  <c r="L106" i="2" s="1"/>
  <c r="J106" i="2"/>
  <c r="D106" i="2"/>
  <c r="N105" i="2"/>
  <c r="L105" i="2"/>
  <c r="H105" i="2"/>
  <c r="F105" i="2" s="1"/>
  <c r="J104" i="2"/>
  <c r="N104" i="2" s="1"/>
  <c r="L104" i="2" s="1"/>
  <c r="D104" i="2"/>
  <c r="H104" i="2" s="1"/>
  <c r="F104" i="2" s="1"/>
  <c r="N103" i="2"/>
  <c r="H103" i="2"/>
  <c r="F103" i="2"/>
  <c r="P101" i="2"/>
  <c r="N99" i="2"/>
  <c r="L99" i="2" s="1"/>
  <c r="H99" i="2"/>
  <c r="F99" i="2" s="1"/>
  <c r="N98" i="2"/>
  <c r="L98" i="2"/>
  <c r="H98" i="2"/>
  <c r="F98" i="2" s="1"/>
  <c r="N97" i="2"/>
  <c r="L97" i="2" s="1"/>
  <c r="H97" i="2"/>
  <c r="F97" i="2"/>
  <c r="N96" i="2"/>
  <c r="L96" i="2" s="1"/>
  <c r="H96" i="2"/>
  <c r="F96" i="2" s="1"/>
  <c r="N95" i="2"/>
  <c r="L95" i="2" s="1"/>
  <c r="H95" i="2"/>
  <c r="F95" i="2" s="1"/>
  <c r="N94" i="2"/>
  <c r="L94" i="2" s="1"/>
  <c r="H94" i="2"/>
  <c r="F94" i="2" s="1"/>
  <c r="N93" i="2"/>
  <c r="L93" i="2" s="1"/>
  <c r="H93" i="2"/>
  <c r="F93" i="2" s="1"/>
  <c r="J92" i="2"/>
  <c r="N92" i="2" s="1"/>
  <c r="L92" i="2" s="1"/>
  <c r="D92" i="2"/>
  <c r="J91" i="2"/>
  <c r="N91" i="2" s="1"/>
  <c r="L91" i="2" s="1"/>
  <c r="D91" i="2"/>
  <c r="J90" i="2"/>
  <c r="N90" i="2" s="1"/>
  <c r="L90" i="2" s="1"/>
  <c r="D90" i="2"/>
  <c r="J89" i="2"/>
  <c r="N89" i="2" s="1"/>
  <c r="L89" i="2" s="1"/>
  <c r="D89" i="2"/>
  <c r="J88" i="2"/>
  <c r="N88" i="2" s="1"/>
  <c r="L88" i="2" s="1"/>
  <c r="D88" i="2"/>
  <c r="N87" i="2"/>
  <c r="L87" i="2"/>
  <c r="H87" i="2"/>
  <c r="F87" i="2" s="1"/>
  <c r="J86" i="2"/>
  <c r="H86" i="2" s="1"/>
  <c r="F86" i="2" s="1"/>
  <c r="J85" i="2"/>
  <c r="D85" i="2"/>
  <c r="P83" i="2"/>
  <c r="N81" i="2"/>
  <c r="L81" i="2" s="1"/>
  <c r="H81" i="2"/>
  <c r="F81" i="2" s="1"/>
  <c r="N80" i="2"/>
  <c r="L80" i="2" s="1"/>
  <c r="H80" i="2"/>
  <c r="F80" i="2" s="1"/>
  <c r="N79" i="2"/>
  <c r="L79" i="2" s="1"/>
  <c r="H79" i="2"/>
  <c r="F79" i="2" s="1"/>
  <c r="N78" i="2"/>
  <c r="L78" i="2" s="1"/>
  <c r="H78" i="2"/>
  <c r="F78" i="2" s="1"/>
  <c r="N77" i="2"/>
  <c r="L77" i="2" s="1"/>
  <c r="H77" i="2"/>
  <c r="F77" i="2" s="1"/>
  <c r="N76" i="2"/>
  <c r="L76" i="2" s="1"/>
  <c r="H76" i="2"/>
  <c r="F76" i="2" s="1"/>
  <c r="N75" i="2"/>
  <c r="L75" i="2" s="1"/>
  <c r="H75" i="2"/>
  <c r="F75" i="2" s="1"/>
  <c r="N74" i="2"/>
  <c r="L74" i="2"/>
  <c r="H74" i="2"/>
  <c r="F74" i="2"/>
  <c r="N73" i="2"/>
  <c r="L73" i="2" s="1"/>
  <c r="H73" i="2"/>
  <c r="F73" i="2" s="1"/>
  <c r="J72" i="2"/>
  <c r="N72" i="2" s="1"/>
  <c r="L72" i="2" s="1"/>
  <c r="N71" i="2"/>
  <c r="L71" i="2" s="1"/>
  <c r="H71" i="2"/>
  <c r="F71" i="2" s="1"/>
  <c r="N70" i="2"/>
  <c r="L70" i="2" s="1"/>
  <c r="H70" i="2"/>
  <c r="F70" i="2" s="1"/>
  <c r="J69" i="2"/>
  <c r="N69" i="2" s="1"/>
  <c r="L69" i="2" s="1"/>
  <c r="J68" i="2"/>
  <c r="N68" i="2" s="1"/>
  <c r="L68" i="2" s="1"/>
  <c r="D68" i="2"/>
  <c r="J67" i="2"/>
  <c r="N67" i="2" s="1"/>
  <c r="L67" i="2" s="1"/>
  <c r="D67" i="2"/>
  <c r="J66" i="2"/>
  <c r="N66" i="2" s="1"/>
  <c r="L66" i="2" s="1"/>
  <c r="J65" i="2"/>
  <c r="N65" i="2" s="1"/>
  <c r="L65" i="2" s="1"/>
  <c r="D65" i="2"/>
  <c r="H65" i="2" s="1"/>
  <c r="F65" i="2" s="1"/>
  <c r="N64" i="2"/>
  <c r="L64" i="2" s="1"/>
  <c r="D64" i="2"/>
  <c r="H64" i="2" s="1"/>
  <c r="F64" i="2" s="1"/>
  <c r="N63" i="2"/>
  <c r="L63" i="2" s="1"/>
  <c r="D63" i="2"/>
  <c r="H63" i="2" s="1"/>
  <c r="F63" i="2" s="1"/>
  <c r="J62" i="2"/>
  <c r="N62" i="2" s="1"/>
  <c r="N61" i="2"/>
  <c r="L61" i="2" s="1"/>
  <c r="D61" i="2"/>
  <c r="H61" i="2" s="1"/>
  <c r="F61" i="2" s="1"/>
  <c r="P59" i="2"/>
  <c r="J59" i="2"/>
  <c r="D59" i="2"/>
  <c r="N57" i="2"/>
  <c r="N59" i="2" s="1"/>
  <c r="H57" i="2"/>
  <c r="F57" i="2" s="1"/>
  <c r="P53" i="2"/>
  <c r="N53" i="2" s="1"/>
  <c r="L53" i="2" s="1"/>
  <c r="H53" i="2"/>
  <c r="F53" i="2" s="1"/>
  <c r="N52" i="2"/>
  <c r="L52" i="2" s="1"/>
  <c r="H52" i="2"/>
  <c r="F52" i="2" s="1"/>
  <c r="N51" i="2"/>
  <c r="L51" i="2"/>
  <c r="H51" i="2"/>
  <c r="F51" i="2" s="1"/>
  <c r="N50" i="2"/>
  <c r="L50" i="2" s="1"/>
  <c r="H50" i="2"/>
  <c r="F50" i="2" s="1"/>
  <c r="N49" i="2"/>
  <c r="L49" i="2" s="1"/>
  <c r="H49" i="2"/>
  <c r="F49" i="2" s="1"/>
  <c r="J48" i="2"/>
  <c r="N48" i="2" s="1"/>
  <c r="L48" i="2" s="1"/>
  <c r="D48" i="2"/>
  <c r="J47" i="2"/>
  <c r="N47" i="2" s="1"/>
  <c r="L47" i="2" s="1"/>
  <c r="D47" i="2"/>
  <c r="J46" i="2"/>
  <c r="D46" i="2"/>
  <c r="D55" i="2" s="1"/>
  <c r="P44" i="2"/>
  <c r="N42" i="2"/>
  <c r="L42" i="2" s="1"/>
  <c r="H42" i="2"/>
  <c r="F42" i="2" s="1"/>
  <c r="N41" i="2"/>
  <c r="L41" i="2" s="1"/>
  <c r="H41" i="2"/>
  <c r="F41" i="2" s="1"/>
  <c r="N40" i="2"/>
  <c r="L40" i="2"/>
  <c r="H40" i="2"/>
  <c r="F40" i="2" s="1"/>
  <c r="N39" i="2"/>
  <c r="L39" i="2" s="1"/>
  <c r="H39" i="2"/>
  <c r="F39" i="2" s="1"/>
  <c r="J38" i="2"/>
  <c r="N38" i="2" s="1"/>
  <c r="L38" i="2" s="1"/>
  <c r="D38" i="2"/>
  <c r="H38" i="2" s="1"/>
  <c r="F38" i="2" s="1"/>
  <c r="J37" i="2"/>
  <c r="N37" i="2" s="1"/>
  <c r="L37" i="2" s="1"/>
  <c r="D37" i="2"/>
  <c r="J36" i="2"/>
  <c r="N36" i="2" s="1"/>
  <c r="D36" i="2"/>
  <c r="P34" i="2"/>
  <c r="N32" i="2"/>
  <c r="L32" i="2"/>
  <c r="H32" i="2"/>
  <c r="F32" i="2" s="1"/>
  <c r="N31" i="2"/>
  <c r="H31" i="2"/>
  <c r="N30" i="2"/>
  <c r="L30" i="2" s="1"/>
  <c r="H30" i="2"/>
  <c r="F30" i="2" s="1"/>
  <c r="N29" i="2"/>
  <c r="L29" i="2" s="1"/>
  <c r="H29" i="2"/>
  <c r="F29" i="2"/>
  <c r="N28" i="2"/>
  <c r="L28" i="2" s="1"/>
  <c r="H28" i="2"/>
  <c r="F28" i="2" s="1"/>
  <c r="N27" i="2"/>
  <c r="L27" i="2" s="1"/>
  <c r="H27" i="2"/>
  <c r="F27" i="2" s="1"/>
  <c r="N26" i="2"/>
  <c r="L26" i="2" s="1"/>
  <c r="H26" i="2"/>
  <c r="F26" i="2" s="1"/>
  <c r="N25" i="2"/>
  <c r="L25" i="2" s="1"/>
  <c r="H25" i="2"/>
  <c r="F25" i="2" s="1"/>
  <c r="N24" i="2"/>
  <c r="L24" i="2" s="1"/>
  <c r="H24" i="2"/>
  <c r="F24" i="2" s="1"/>
  <c r="J23" i="2"/>
  <c r="N23" i="2" s="1"/>
  <c r="L23" i="2" s="1"/>
  <c r="J22" i="2"/>
  <c r="N22" i="2" s="1"/>
  <c r="L22" i="2" s="1"/>
  <c r="D22" i="2"/>
  <c r="H22" i="2" s="1"/>
  <c r="F22" i="2" s="1"/>
  <c r="J21" i="2"/>
  <c r="N21" i="2" s="1"/>
  <c r="L21" i="2" s="1"/>
  <c r="J20" i="2"/>
  <c r="N20" i="2" s="1"/>
  <c r="L20" i="2" s="1"/>
  <c r="J19" i="2"/>
  <c r="N19" i="2" s="1"/>
  <c r="L19" i="2" s="1"/>
  <c r="D19" i="2"/>
  <c r="J18" i="2"/>
  <c r="N18" i="2" s="1"/>
  <c r="L18" i="2" s="1"/>
  <c r="J17" i="2"/>
  <c r="N17" i="2" s="1"/>
  <c r="L17" i="2" s="1"/>
  <c r="N16" i="2"/>
  <c r="L16" i="2" s="1"/>
  <c r="H16" i="2"/>
  <c r="F16" i="2" s="1"/>
  <c r="P14" i="2"/>
  <c r="N12" i="2"/>
  <c r="L12" i="2" s="1"/>
  <c r="H12" i="2"/>
  <c r="F12" i="2" s="1"/>
  <c r="N11" i="2"/>
  <c r="L11" i="2" s="1"/>
  <c r="H11" i="2"/>
  <c r="F11" i="2" s="1"/>
  <c r="N10" i="2"/>
  <c r="L10" i="2" s="1"/>
  <c r="H10" i="2"/>
  <c r="N9" i="2"/>
  <c r="L9" i="2" s="1"/>
  <c r="H9" i="2"/>
  <c r="F9" i="2" s="1"/>
  <c r="N8" i="2"/>
  <c r="H8" i="2"/>
  <c r="F8" i="2" s="1"/>
  <c r="N7" i="2"/>
  <c r="L7" i="2" s="1"/>
  <c r="H7" i="2"/>
  <c r="F7" i="2" s="1"/>
  <c r="J6" i="2"/>
  <c r="N6" i="2" s="1"/>
  <c r="L6" i="2" s="1"/>
  <c r="D6" i="2"/>
  <c r="H6" i="2" s="1"/>
  <c r="F6" i="2" s="1"/>
  <c r="J5" i="2"/>
  <c r="D5" i="2"/>
  <c r="J4" i="2"/>
  <c r="N4" i="2" s="1"/>
  <c r="D4" i="2"/>
  <c r="D167" i="1" l="1"/>
  <c r="H167" i="1" s="1"/>
  <c r="F167" i="1" s="1"/>
  <c r="J55" i="2"/>
  <c r="H352" i="2"/>
  <c r="F352" i="2" s="1"/>
  <c r="D168" i="1"/>
  <c r="H168" i="1" s="1"/>
  <c r="F168" i="1" s="1"/>
  <c r="H164" i="2"/>
  <c r="F164" i="2" s="1"/>
  <c r="N86" i="2"/>
  <c r="L86" i="2" s="1"/>
  <c r="L444" i="2"/>
  <c r="D160" i="1"/>
  <c r="D166" i="1"/>
  <c r="H166" i="1" s="1"/>
  <c r="F166" i="1" s="1"/>
  <c r="L59" i="2"/>
  <c r="H235" i="2"/>
  <c r="F235" i="2" s="1"/>
  <c r="J508" i="2"/>
  <c r="H475" i="2"/>
  <c r="F475" i="2" s="1"/>
  <c r="H500" i="2"/>
  <c r="F500" i="2" s="1"/>
  <c r="H553" i="2"/>
  <c r="F553" i="2" s="1"/>
  <c r="D161" i="1"/>
  <c r="H161" i="1" s="1"/>
  <c r="F161" i="1" s="1"/>
  <c r="H119" i="2"/>
  <c r="F119" i="2" s="1"/>
  <c r="D162" i="1"/>
  <c r="H162" i="1" s="1"/>
  <c r="F162" i="1" s="1"/>
  <c r="H59" i="2"/>
  <c r="F59" i="2" s="1"/>
  <c r="D163" i="1"/>
  <c r="H163" i="1" s="1"/>
  <c r="F163" i="1" s="1"/>
  <c r="H37" i="2"/>
  <c r="F37" i="2" s="1"/>
  <c r="H120" i="2"/>
  <c r="F120" i="2" s="1"/>
  <c r="H165" i="2"/>
  <c r="F165" i="2" s="1"/>
  <c r="D164" i="1"/>
  <c r="H164" i="1" s="1"/>
  <c r="F164" i="1" s="1"/>
  <c r="J221" i="2"/>
  <c r="H205" i="2"/>
  <c r="F205" i="2" s="1"/>
  <c r="H213" i="2"/>
  <c r="F213" i="2" s="1"/>
  <c r="H232" i="2"/>
  <c r="F232" i="2" s="1"/>
  <c r="H299" i="2"/>
  <c r="F299" i="2" s="1"/>
  <c r="H305" i="2"/>
  <c r="F305" i="2" s="1"/>
  <c r="H347" i="2"/>
  <c r="F347" i="2" s="1"/>
  <c r="H521" i="2"/>
  <c r="F521" i="2" s="1"/>
  <c r="H5" i="2"/>
  <c r="F5" i="2" s="1"/>
  <c r="H206" i="2"/>
  <c r="F206" i="2" s="1"/>
  <c r="H300" i="2"/>
  <c r="F300" i="2" s="1"/>
  <c r="H348" i="2"/>
  <c r="F348" i="2" s="1"/>
  <c r="H543" i="2"/>
  <c r="H223" i="2"/>
  <c r="F223" i="2" s="1"/>
  <c r="D34" i="2"/>
  <c r="H141" i="2"/>
  <c r="F141" i="2" s="1"/>
  <c r="J260" i="2"/>
  <c r="H413" i="2"/>
  <c r="F413" i="2" s="1"/>
  <c r="H185" i="2"/>
  <c r="F185" i="2" s="1"/>
  <c r="J438" i="2"/>
  <c r="H519" i="2"/>
  <c r="H535" i="2" s="1"/>
  <c r="H20" i="2"/>
  <c r="F20" i="2" s="1"/>
  <c r="H67" i="2"/>
  <c r="F67" i="2" s="1"/>
  <c r="H110" i="2"/>
  <c r="F110" i="2" s="1"/>
  <c r="H124" i="2"/>
  <c r="F124" i="2" s="1"/>
  <c r="H301" i="2"/>
  <c r="F301" i="2" s="1"/>
  <c r="H355" i="2"/>
  <c r="F355" i="2" s="1"/>
  <c r="H106" i="2"/>
  <c r="F106" i="2" s="1"/>
  <c r="H186" i="2"/>
  <c r="F186" i="2" s="1"/>
  <c r="H203" i="2"/>
  <c r="H451" i="2"/>
  <c r="F451" i="2" s="1"/>
  <c r="J559" i="2"/>
  <c r="L57" i="2"/>
  <c r="H91" i="2"/>
  <c r="F91" i="2" s="1"/>
  <c r="J14" i="2"/>
  <c r="H19" i="2"/>
  <c r="F19" i="2" s="1"/>
  <c r="H23" i="2"/>
  <c r="F23" i="2" s="1"/>
  <c r="D83" i="2"/>
  <c r="D221" i="2"/>
  <c r="J343" i="2"/>
  <c r="D405" i="2"/>
  <c r="N407" i="2"/>
  <c r="L407" i="2" s="1"/>
  <c r="N411" i="2"/>
  <c r="L411" i="2" s="1"/>
  <c r="H450" i="2"/>
  <c r="F450" i="2" s="1"/>
  <c r="H469" i="2"/>
  <c r="F469" i="2" s="1"/>
  <c r="H474" i="2"/>
  <c r="F474" i="2" s="1"/>
  <c r="F543" i="2"/>
  <c r="J154" i="2"/>
  <c r="N5" i="2"/>
  <c r="L5" i="2" s="1"/>
  <c r="D154" i="2"/>
  <c r="D199" i="2"/>
  <c r="D618" i="2"/>
  <c r="D169" i="1"/>
  <c r="H169" i="1" s="1"/>
  <c r="F169" i="1" s="1"/>
  <c r="H69" i="2"/>
  <c r="F69" i="2" s="1"/>
  <c r="D167" i="2"/>
  <c r="H183" i="2"/>
  <c r="F183" i="2" s="1"/>
  <c r="H353" i="2"/>
  <c r="F353" i="2" s="1"/>
  <c r="N398" i="2"/>
  <c r="L398" i="2" s="1"/>
  <c r="J466" i="2"/>
  <c r="D170" i="1"/>
  <c r="H170" i="1" s="1"/>
  <c r="F170" i="1" s="1"/>
  <c r="J199" i="2"/>
  <c r="N446" i="2"/>
  <c r="L446" i="2" s="1"/>
  <c r="H17" i="2"/>
  <c r="F17" i="2" s="1"/>
  <c r="H21" i="2"/>
  <c r="F21" i="2" s="1"/>
  <c r="H47" i="2"/>
  <c r="F47" i="2" s="1"/>
  <c r="H62" i="2"/>
  <c r="F62" i="2" s="1"/>
  <c r="H89" i="2"/>
  <c r="F89" i="2" s="1"/>
  <c r="D117" i="2"/>
  <c r="H108" i="2"/>
  <c r="F108" i="2" s="1"/>
  <c r="H214" i="2"/>
  <c r="F214" i="2" s="1"/>
  <c r="H225" i="2"/>
  <c r="F225" i="2" s="1"/>
  <c r="H268" i="2"/>
  <c r="F268" i="2" s="1"/>
  <c r="J395" i="2"/>
  <c r="H452" i="2"/>
  <c r="F452" i="2" s="1"/>
  <c r="H517" i="2"/>
  <c r="F517" i="2" s="1"/>
  <c r="H552" i="2"/>
  <c r="F552" i="2" s="1"/>
  <c r="D44" i="2"/>
  <c r="D101" i="2"/>
  <c r="D559" i="2"/>
  <c r="H567" i="2"/>
  <c r="F567" i="2" s="1"/>
  <c r="J34" i="2"/>
  <c r="D14" i="2"/>
  <c r="H85" i="2"/>
  <c r="F85" i="2" s="1"/>
  <c r="J209" i="2"/>
  <c r="H297" i="2"/>
  <c r="F297" i="2" s="1"/>
  <c r="H354" i="2"/>
  <c r="F354" i="2" s="1"/>
  <c r="H410" i="2"/>
  <c r="F410" i="2" s="1"/>
  <c r="H414" i="2"/>
  <c r="F414" i="2" s="1"/>
  <c r="N517" i="2"/>
  <c r="L517" i="2" s="1"/>
  <c r="H4" i="2"/>
  <c r="F4" i="2" s="1"/>
  <c r="H18" i="2"/>
  <c r="F18" i="2" s="1"/>
  <c r="J101" i="2"/>
  <c r="D136" i="2"/>
  <c r="H122" i="2"/>
  <c r="F122" i="2" s="1"/>
  <c r="N174" i="2"/>
  <c r="L174" i="2" s="1"/>
  <c r="H204" i="2"/>
  <c r="F204" i="2" s="1"/>
  <c r="J136" i="2"/>
  <c r="H143" i="2"/>
  <c r="F143" i="2" s="1"/>
  <c r="H298" i="2"/>
  <c r="F298" i="2" s="1"/>
  <c r="H405" i="2"/>
  <c r="F405" i="2" s="1"/>
  <c r="H407" i="2"/>
  <c r="F407" i="2" s="1"/>
  <c r="H449" i="2"/>
  <c r="F449" i="2" s="1"/>
  <c r="D508" i="2"/>
  <c r="H473" i="2"/>
  <c r="F473" i="2" s="1"/>
  <c r="H174" i="2"/>
  <c r="F174" i="2" s="1"/>
  <c r="H160" i="1"/>
  <c r="F160" i="1" s="1"/>
  <c r="N294" i="2"/>
  <c r="L294" i="2" s="1"/>
  <c r="L262" i="2"/>
  <c r="F510" i="2"/>
  <c r="H158" i="2"/>
  <c r="F158" i="2" s="1"/>
  <c r="F203" i="2"/>
  <c r="N83" i="2"/>
  <c r="L83" i="2" s="1"/>
  <c r="N117" i="2"/>
  <c r="L117" i="2" s="1"/>
  <c r="N44" i="2"/>
  <c r="L44" i="2" s="1"/>
  <c r="L36" i="2"/>
  <c r="F262" i="2"/>
  <c r="H571" i="2"/>
  <c r="F571" i="2" s="1"/>
  <c r="N571" i="2"/>
  <c r="L571" i="2" s="1"/>
  <c r="J44" i="2"/>
  <c r="D209" i="2"/>
  <c r="H332" i="2"/>
  <c r="F332" i="2" s="1"/>
  <c r="N343" i="2"/>
  <c r="L343" i="2" s="1"/>
  <c r="N199" i="2"/>
  <c r="L4" i="2"/>
  <c r="H36" i="2"/>
  <c r="P55" i="2"/>
  <c r="P201" i="2" s="1"/>
  <c r="P537" i="2" s="1"/>
  <c r="P562" i="2" s="1"/>
  <c r="H72" i="2"/>
  <c r="F72" i="2" s="1"/>
  <c r="H139" i="2"/>
  <c r="F139" i="2" s="1"/>
  <c r="N203" i="2"/>
  <c r="H212" i="2"/>
  <c r="F212" i="2" s="1"/>
  <c r="N223" i="2"/>
  <c r="J294" i="2"/>
  <c r="F519" i="2"/>
  <c r="D535" i="2"/>
  <c r="J117" i="2"/>
  <c r="F440" i="2"/>
  <c r="H444" i="2"/>
  <c r="F444" i="2" s="1"/>
  <c r="N535" i="2"/>
  <c r="L519" i="2"/>
  <c r="N136" i="2"/>
  <c r="L136" i="2" s="1"/>
  <c r="D260" i="2"/>
  <c r="D466" i="2"/>
  <c r="H156" i="2"/>
  <c r="H181" i="2"/>
  <c r="F181" i="2" s="1"/>
  <c r="N212" i="2"/>
  <c r="D323" i="2"/>
  <c r="H330" i="2"/>
  <c r="F330" i="2" s="1"/>
  <c r="D343" i="2"/>
  <c r="H333" i="2"/>
  <c r="F333" i="2" s="1"/>
  <c r="N85" i="2"/>
  <c r="D395" i="2"/>
  <c r="H346" i="2"/>
  <c r="F346" i="2" s="1"/>
  <c r="H569" i="2"/>
  <c r="F569" i="2" s="1"/>
  <c r="N569" i="2"/>
  <c r="L569" i="2" s="1"/>
  <c r="H573" i="2"/>
  <c r="F573" i="2" s="1"/>
  <c r="N573" i="2"/>
  <c r="L573" i="2" s="1"/>
  <c r="H46" i="2"/>
  <c r="H48" i="2"/>
  <c r="F48" i="2" s="1"/>
  <c r="H66" i="2"/>
  <c r="F66" i="2" s="1"/>
  <c r="H68" i="2"/>
  <c r="F68" i="2" s="1"/>
  <c r="H88" i="2"/>
  <c r="F88" i="2" s="1"/>
  <c r="H90" i="2"/>
  <c r="F90" i="2" s="1"/>
  <c r="H92" i="2"/>
  <c r="F92" i="2" s="1"/>
  <c r="H107" i="2"/>
  <c r="F107" i="2" s="1"/>
  <c r="H109" i="2"/>
  <c r="F109" i="2" s="1"/>
  <c r="H263" i="2"/>
  <c r="F263" i="2" s="1"/>
  <c r="H265" i="2"/>
  <c r="F265" i="2" s="1"/>
  <c r="H267" i="2"/>
  <c r="F267" i="2" s="1"/>
  <c r="H269" i="2"/>
  <c r="F269" i="2" s="1"/>
  <c r="H309" i="2"/>
  <c r="F309" i="2" s="1"/>
  <c r="J323" i="2"/>
  <c r="H138" i="2"/>
  <c r="H140" i="2"/>
  <c r="F140" i="2" s="1"/>
  <c r="H142" i="2"/>
  <c r="F142" i="2" s="1"/>
  <c r="H144" i="2"/>
  <c r="F144" i="2" s="1"/>
  <c r="D303" i="2"/>
  <c r="H296" i="2"/>
  <c r="N323" i="2"/>
  <c r="L323" i="2" s="1"/>
  <c r="H548" i="2"/>
  <c r="N548" i="2"/>
  <c r="L548" i="2" s="1"/>
  <c r="J618" i="2"/>
  <c r="J83" i="2"/>
  <c r="N34" i="2"/>
  <c r="L34" i="2" s="1"/>
  <c r="N46" i="2"/>
  <c r="N167" i="2"/>
  <c r="L167" i="2" s="1"/>
  <c r="N296" i="2"/>
  <c r="J303" i="2"/>
  <c r="L62" i="2"/>
  <c r="N138" i="2"/>
  <c r="D294" i="2"/>
  <c r="F325" i="2"/>
  <c r="L440" i="2"/>
  <c r="N468" i="2"/>
  <c r="H565" i="2"/>
  <c r="J535" i="2"/>
  <c r="N543" i="2"/>
  <c r="L543" i="2" s="1"/>
  <c r="L397" i="2"/>
  <c r="N565" i="2"/>
  <c r="N466" i="2"/>
  <c r="L466" i="2" s="1"/>
  <c r="N346" i="2"/>
  <c r="N438" i="2"/>
  <c r="L438" i="2" s="1"/>
  <c r="H468" i="2"/>
  <c r="H221" i="2" l="1"/>
  <c r="F221" i="2" s="1"/>
  <c r="H466" i="2"/>
  <c r="F466" i="2" s="1"/>
  <c r="J201" i="2"/>
  <c r="J545" i="2"/>
  <c r="H559" i="2"/>
  <c r="F559" i="2" s="1"/>
  <c r="D201" i="2"/>
  <c r="D545" i="2" s="1"/>
  <c r="H136" i="2"/>
  <c r="F136" i="2" s="1"/>
  <c r="H260" i="2"/>
  <c r="F260" i="2" s="1"/>
  <c r="N405" i="2"/>
  <c r="L405" i="2" s="1"/>
  <c r="N559" i="2"/>
  <c r="L559" i="2" s="1"/>
  <c r="D172" i="1"/>
  <c r="H199" i="2"/>
  <c r="F199" i="2" s="1"/>
  <c r="H209" i="2"/>
  <c r="F209" i="2" s="1"/>
  <c r="H34" i="2"/>
  <c r="F34" i="2" s="1"/>
  <c r="H14" i="2"/>
  <c r="F14" i="2" s="1"/>
  <c r="H438" i="2"/>
  <c r="F438" i="2" s="1"/>
  <c r="H323" i="2"/>
  <c r="F323" i="2" s="1"/>
  <c r="N14" i="2"/>
  <c r="L14" i="2" s="1"/>
  <c r="H343" i="2"/>
  <c r="F343" i="2" s="1"/>
  <c r="H167" i="2"/>
  <c r="F167" i="2" s="1"/>
  <c r="F156" i="2"/>
  <c r="L296" i="2"/>
  <c r="N303" i="2"/>
  <c r="L303" i="2" s="1"/>
  <c r="J537" i="2"/>
  <c r="J562" i="2" s="1"/>
  <c r="L46" i="2"/>
  <c r="N55" i="2"/>
  <c r="L55" i="2" s="1"/>
  <c r="H117" i="2"/>
  <c r="F117" i="2" s="1"/>
  <c r="H154" i="2"/>
  <c r="F154" i="2" s="1"/>
  <c r="F138" i="2"/>
  <c r="N209" i="2"/>
  <c r="L209" i="2" s="1"/>
  <c r="L203" i="2"/>
  <c r="F535" i="2"/>
  <c r="H294" i="2"/>
  <c r="F294" i="2" s="1"/>
  <c r="N260" i="2"/>
  <c r="L260" i="2" s="1"/>
  <c r="L223" i="2"/>
  <c r="H101" i="2"/>
  <c r="F101" i="2" s="1"/>
  <c r="N101" i="2"/>
  <c r="L101" i="2" s="1"/>
  <c r="L85" i="2"/>
  <c r="F468" i="2"/>
  <c r="H508" i="2"/>
  <c r="F508" i="2" s="1"/>
  <c r="H618" i="2"/>
  <c r="F618" i="2" s="1"/>
  <c r="F565" i="2"/>
  <c r="L138" i="2"/>
  <c r="N154" i="2"/>
  <c r="L154" i="2" s="1"/>
  <c r="H303" i="2"/>
  <c r="F303" i="2" s="1"/>
  <c r="F296" i="2"/>
  <c r="N508" i="2"/>
  <c r="L508" i="2" s="1"/>
  <c r="L468" i="2"/>
  <c r="L535" i="2"/>
  <c r="H395" i="2"/>
  <c r="F395" i="2" s="1"/>
  <c r="L346" i="2"/>
  <c r="N395" i="2"/>
  <c r="L395" i="2" s="1"/>
  <c r="H55" i="2"/>
  <c r="F55" i="2" s="1"/>
  <c r="F46" i="2"/>
  <c r="H83" i="2"/>
  <c r="F83" i="2" s="1"/>
  <c r="F548" i="2"/>
  <c r="N221" i="2"/>
  <c r="L221" i="2" s="1"/>
  <c r="L212" i="2"/>
  <c r="H44" i="2"/>
  <c r="F44" i="2" s="1"/>
  <c r="F36" i="2"/>
  <c r="N618" i="2"/>
  <c r="L618" i="2" s="1"/>
  <c r="L565" i="2"/>
  <c r="L199" i="2"/>
  <c r="N201" i="2" l="1"/>
  <c r="L201" i="2" s="1"/>
  <c r="D537" i="2"/>
  <c r="H545" i="2"/>
  <c r="F545" i="2" s="1"/>
  <c r="D562" i="2"/>
  <c r="H201" i="2"/>
  <c r="F201" i="2" s="1"/>
  <c r="N537" i="2"/>
  <c r="L537" i="2" s="1"/>
  <c r="N562" i="2" l="1"/>
  <c r="L562" i="2" s="1"/>
  <c r="H537" i="2"/>
  <c r="F537" i="2" s="1"/>
  <c r="H562" i="2" l="1"/>
  <c r="F562" i="2" s="1"/>
  <c r="D200" i="1" l="1"/>
  <c r="H200" i="1" s="1"/>
  <c r="F200" i="1" s="1"/>
  <c r="H403" i="1" l="1"/>
  <c r="F403" i="1" s="1"/>
  <c r="H242" i="1" l="1"/>
  <c r="F242" i="1" s="1"/>
  <c r="H240" i="1"/>
  <c r="F240" i="1" s="1"/>
  <c r="H239" i="1"/>
  <c r="F239" i="1" s="1"/>
  <c r="H230" i="1"/>
  <c r="F230" i="1" s="1"/>
  <c r="D593" i="1" l="1"/>
  <c r="H593" i="1" s="1"/>
  <c r="F593" i="1" s="1"/>
  <c r="D588" i="1"/>
  <c r="H588" i="1" s="1"/>
  <c r="F588" i="1" s="1"/>
  <c r="D308" i="1" l="1"/>
  <c r="H308" i="1" s="1"/>
  <c r="D293" i="1"/>
  <c r="H293" i="1" s="1"/>
  <c r="F293" i="1" s="1"/>
  <c r="D237" i="1" l="1"/>
  <c r="H237" i="1" s="1"/>
  <c r="F237" i="1" s="1"/>
  <c r="D197" i="1" l="1"/>
  <c r="H197" i="1" s="1"/>
  <c r="F197" i="1" s="1"/>
  <c r="H70" i="1" l="1"/>
  <c r="F70" i="1" s="1"/>
  <c r="H23" i="1"/>
  <c r="F23" i="1" s="1"/>
  <c r="H21" i="1"/>
  <c r="F21" i="1" s="1"/>
  <c r="H20" i="1"/>
  <c r="F20" i="1" s="1"/>
  <c r="H17" i="1" l="1"/>
  <c r="F17" i="1" l="1"/>
  <c r="D329" i="1"/>
  <c r="H329" i="1" s="1"/>
  <c r="F329" i="1" s="1"/>
  <c r="D264" i="1"/>
  <c r="H264" i="1" s="1"/>
  <c r="F264" i="1" s="1"/>
  <c r="H464" i="1" l="1"/>
  <c r="F464" i="1" s="1"/>
  <c r="D463" i="1"/>
  <c r="H463" i="1" s="1"/>
  <c r="F463" i="1" s="1"/>
  <c r="H462" i="1"/>
  <c r="F462" i="1" s="1"/>
  <c r="H461" i="1"/>
  <c r="F461" i="1" s="1"/>
  <c r="D458" i="1"/>
  <c r="H458" i="1" s="1"/>
  <c r="F458" i="1" s="1"/>
  <c r="D466" i="1" l="1"/>
  <c r="H466" i="1" s="1"/>
  <c r="F466" i="1" s="1"/>
  <c r="D465" i="1"/>
  <c r="H465" i="1" s="1"/>
  <c r="F465" i="1" s="1"/>
  <c r="J522" i="1" l="1"/>
  <c r="H483" i="1"/>
  <c r="F483" i="1" s="1"/>
  <c r="D499" i="1"/>
  <c r="H499" i="1" s="1"/>
  <c r="F499" i="1" s="1"/>
  <c r="D519" i="1"/>
  <c r="H519" i="1" s="1"/>
  <c r="F519" i="1" s="1"/>
  <c r="H91" i="1" l="1"/>
  <c r="F91" i="1" s="1"/>
  <c r="H92" i="1"/>
  <c r="F92" i="1" s="1"/>
  <c r="H94" i="1"/>
  <c r="F94" i="1" s="1"/>
  <c r="H88" i="1"/>
  <c r="F88" i="1" s="1"/>
  <c r="H531" i="1" l="1"/>
  <c r="H456" i="1"/>
  <c r="D265" i="1"/>
  <c r="H265" i="1" s="1"/>
  <c r="F265" i="1" s="1"/>
  <c r="H186" i="1"/>
  <c r="D106" i="1"/>
  <c r="H106" i="1" s="1"/>
  <c r="F106" i="1" s="1"/>
  <c r="H60" i="1" l="1"/>
  <c r="H179" i="1"/>
  <c r="H172" i="1"/>
  <c r="J186" i="1"/>
  <c r="F186" i="1" s="1"/>
  <c r="D569" i="1" l="1"/>
  <c r="H569" i="1" s="1"/>
  <c r="F569" i="1" s="1"/>
  <c r="D564" i="1"/>
  <c r="H564" i="1" s="1"/>
  <c r="H568" i="1"/>
  <c r="D567" i="1"/>
  <c r="H567" i="1" s="1"/>
  <c r="F567" i="1" s="1"/>
  <c r="D637" i="1"/>
  <c r="H637" i="1" s="1"/>
  <c r="F637" i="1" s="1"/>
  <c r="D636" i="1"/>
  <c r="H636" i="1" s="1"/>
  <c r="F636" i="1" s="1"/>
  <c r="D638" i="1"/>
  <c r="H638" i="1" s="1"/>
  <c r="F638" i="1" s="1"/>
  <c r="D635" i="1"/>
  <c r="H635" i="1" s="1"/>
  <c r="F635" i="1" s="1"/>
  <c r="D566" i="1"/>
  <c r="H566" i="1" s="1"/>
  <c r="F566" i="1" s="1"/>
  <c r="D561" i="1"/>
  <c r="D565" i="1"/>
  <c r="H565" i="1" s="1"/>
  <c r="F565" i="1" s="1"/>
  <c r="H561" i="1" l="1"/>
  <c r="D572" i="1"/>
  <c r="M575" i="1" s="1"/>
  <c r="H596" i="1"/>
  <c r="F596" i="1" s="1"/>
  <c r="D594" i="1"/>
  <c r="H594" i="1" s="1"/>
  <c r="F594" i="1" s="1"/>
  <c r="H592" i="1"/>
  <c r="F592" i="1" s="1"/>
  <c r="H591" i="1"/>
  <c r="F591" i="1" s="1"/>
  <c r="D590" i="1"/>
  <c r="H590" i="1" s="1"/>
  <c r="F590" i="1" s="1"/>
  <c r="D587" i="1"/>
  <c r="H587" i="1" s="1"/>
  <c r="F587" i="1" s="1"/>
  <c r="H586" i="1"/>
  <c r="F586" i="1" s="1"/>
  <c r="D538" i="1"/>
  <c r="H538" i="1" s="1"/>
  <c r="F538" i="1" s="1"/>
  <c r="D537" i="1"/>
  <c r="H537" i="1" s="1"/>
  <c r="F537" i="1" s="1"/>
  <c r="D536" i="1"/>
  <c r="H536" i="1" s="1"/>
  <c r="F536" i="1" s="1"/>
  <c r="D535" i="1"/>
  <c r="H535" i="1" s="1"/>
  <c r="F535" i="1" s="1"/>
  <c r="D534" i="1"/>
  <c r="H534" i="1" s="1"/>
  <c r="F534" i="1" s="1"/>
  <c r="D533" i="1"/>
  <c r="H533" i="1" s="1"/>
  <c r="F533" i="1" s="1"/>
  <c r="D531" i="1"/>
  <c r="H489" i="1"/>
  <c r="F489" i="1" s="1"/>
  <c r="D488" i="1"/>
  <c r="H488" i="1" s="1"/>
  <c r="F488" i="1" s="1"/>
  <c r="H487" i="1"/>
  <c r="F487" i="1" s="1"/>
  <c r="H486" i="1"/>
  <c r="F486" i="1" s="1"/>
  <c r="H485" i="1"/>
  <c r="F485" i="1" s="1"/>
  <c r="H482" i="1"/>
  <c r="F482" i="1" s="1"/>
  <c r="D481" i="1"/>
  <c r="H481" i="1" s="1"/>
  <c r="F481" i="1" s="1"/>
  <c r="D460" i="1"/>
  <c r="H460" i="1" s="1"/>
  <c r="F460" i="1" s="1"/>
  <c r="H459" i="1"/>
  <c r="F459" i="1" s="1"/>
  <c r="F561" i="1" l="1"/>
  <c r="H572" i="1"/>
  <c r="F572" i="1" s="1"/>
  <c r="D522" i="1"/>
  <c r="H425" i="1"/>
  <c r="F425" i="1" s="1"/>
  <c r="H363" i="1"/>
  <c r="F363" i="1" s="1"/>
  <c r="H424" i="1"/>
  <c r="F424" i="1" s="1"/>
  <c r="H423" i="1"/>
  <c r="F423" i="1" s="1"/>
  <c r="H422" i="1"/>
  <c r="F422" i="1" s="1"/>
  <c r="H421" i="1" l="1"/>
  <c r="F421" i="1" s="1"/>
  <c r="H418" i="1"/>
  <c r="F418" i="1" s="1"/>
  <c r="D411" i="1"/>
  <c r="H411" i="1" s="1"/>
  <c r="F411" i="1" s="1"/>
  <c r="D410" i="1"/>
  <c r="H410" i="1" s="1"/>
  <c r="F410" i="1" s="1"/>
  <c r="D409" i="1"/>
  <c r="H409" i="1" s="1"/>
  <c r="F409" i="1" s="1"/>
  <c r="H365" i="1"/>
  <c r="F365" i="1" s="1"/>
  <c r="H362" i="1"/>
  <c r="F362" i="1" s="1"/>
  <c r="H361" i="1"/>
  <c r="F361" i="1" s="1"/>
  <c r="D360" i="1"/>
  <c r="H360" i="1" s="1"/>
  <c r="F360" i="1" s="1"/>
  <c r="D357" i="1"/>
  <c r="H357" i="1" s="1"/>
  <c r="F357" i="1" s="1"/>
  <c r="H356" i="1"/>
  <c r="F356" i="1" s="1"/>
  <c r="H355" i="1"/>
  <c r="F355" i="1" s="1"/>
  <c r="H343" i="1"/>
  <c r="F343" i="1" s="1"/>
  <c r="D342" i="1"/>
  <c r="H342" i="1" s="1"/>
  <c r="F342" i="1" s="1"/>
  <c r="H341" i="1"/>
  <c r="F341" i="1" s="1"/>
  <c r="H340" i="1"/>
  <c r="F340" i="1" s="1"/>
  <c r="D339" i="1"/>
  <c r="H339" i="1" s="1"/>
  <c r="F339" i="1" s="1"/>
  <c r="H334" i="1"/>
  <c r="F334" i="1" s="1"/>
  <c r="D319" i="1"/>
  <c r="H319" i="1" s="1"/>
  <c r="F319" i="1" s="1"/>
  <c r="D318" i="1"/>
  <c r="H318" i="1" s="1"/>
  <c r="F318" i="1" s="1"/>
  <c r="D317" i="1"/>
  <c r="H317" i="1" s="1"/>
  <c r="F317" i="1" s="1"/>
  <c r="D316" i="1"/>
  <c r="H316" i="1" s="1"/>
  <c r="F316" i="1" s="1"/>
  <c r="D315" i="1"/>
  <c r="H315" i="1" s="1"/>
  <c r="F315" i="1" s="1"/>
  <c r="D313" i="1"/>
  <c r="H313" i="1" s="1"/>
  <c r="F313" i="1" s="1"/>
  <c r="D309" i="1"/>
  <c r="H309" i="1" s="1"/>
  <c r="F309" i="1" s="1"/>
  <c r="D307" i="1"/>
  <c r="H307" i="1" s="1"/>
  <c r="F307" i="1" s="1"/>
  <c r="D306" i="1"/>
  <c r="H306" i="1" s="1"/>
  <c r="F306" i="1" s="1"/>
  <c r="D305" i="1"/>
  <c r="H305" i="1" s="1"/>
  <c r="F305" i="1" s="1"/>
  <c r="D304" i="1"/>
  <c r="H304" i="1" s="1"/>
  <c r="F304" i="1" s="1"/>
  <c r="H276" i="1"/>
  <c r="F276" i="1" s="1"/>
  <c r="D275" i="1"/>
  <c r="H275" i="1" s="1"/>
  <c r="F275" i="1" s="1"/>
  <c r="H274" i="1"/>
  <c r="F274" i="1" s="1"/>
  <c r="H273" i="1"/>
  <c r="F273" i="1" s="1"/>
  <c r="D272" i="1"/>
  <c r="H272" i="1" s="1"/>
  <c r="F272" i="1" s="1"/>
  <c r="H271" i="1"/>
  <c r="F271" i="1" s="1"/>
  <c r="H270" i="1"/>
  <c r="F270" i="1" s="1"/>
  <c r="H269" i="1"/>
  <c r="F269" i="1" s="1"/>
  <c r="D241" i="1"/>
  <c r="H241" i="1" s="1"/>
  <c r="F241" i="1" s="1"/>
  <c r="H238" i="1"/>
  <c r="F238" i="1" s="1"/>
  <c r="D231" i="1"/>
  <c r="H231" i="1" s="1"/>
  <c r="F231" i="1" s="1"/>
  <c r="D229" i="1"/>
  <c r="H229" i="1" s="1"/>
  <c r="F229" i="1" s="1"/>
  <c r="D220" i="1"/>
  <c r="H220" i="1" s="1"/>
  <c r="F220" i="1" s="1"/>
  <c r="D219" i="1"/>
  <c r="H219" i="1" s="1"/>
  <c r="F219" i="1" s="1"/>
  <c r="D218" i="1"/>
  <c r="H218" i="1" s="1"/>
  <c r="F218" i="1" s="1"/>
  <c r="D211" i="1"/>
  <c r="H211" i="1" s="1"/>
  <c r="F211" i="1" s="1"/>
  <c r="D210" i="1"/>
  <c r="H210" i="1" s="1"/>
  <c r="F210" i="1" s="1"/>
  <c r="D209" i="1"/>
  <c r="H209" i="1" s="1"/>
  <c r="F209" i="1" s="1"/>
  <c r="D208" i="1"/>
  <c r="H208" i="1" s="1"/>
  <c r="F208" i="1" s="1"/>
  <c r="J172" i="1"/>
  <c r="F172" i="1" s="1"/>
  <c r="J179" i="1"/>
  <c r="F179" i="1" s="1"/>
  <c r="J204" i="1"/>
  <c r="H450" i="1" l="1"/>
  <c r="D332" i="1"/>
  <c r="D188" i="1"/>
  <c r="H188" i="1" s="1"/>
  <c r="F188" i="1" s="1"/>
  <c r="D191" i="1"/>
  <c r="H191" i="1" s="1"/>
  <c r="F191" i="1" s="1"/>
  <c r="D190" i="1"/>
  <c r="H190" i="1" s="1"/>
  <c r="F190" i="1" s="1"/>
  <c r="D189" i="1"/>
  <c r="H189" i="1" s="1"/>
  <c r="F189" i="1" s="1"/>
  <c r="H416" i="1" l="1"/>
  <c r="D148" i="1"/>
  <c r="H148" i="1" s="1"/>
  <c r="F148" i="1" s="1"/>
  <c r="D147" i="1"/>
  <c r="H147" i="1" s="1"/>
  <c r="F147" i="1" s="1"/>
  <c r="D146" i="1"/>
  <c r="H146" i="1" s="1"/>
  <c r="F146" i="1" s="1"/>
  <c r="D144" i="1"/>
  <c r="H144" i="1" s="1"/>
  <c r="F144" i="1" s="1"/>
  <c r="D143" i="1"/>
  <c r="H143" i="1" s="1"/>
  <c r="F143" i="1" s="1"/>
  <c r="D142" i="1"/>
  <c r="H142" i="1" s="1"/>
  <c r="F142" i="1" s="1"/>
  <c r="D141" i="1"/>
  <c r="H141" i="1" s="1"/>
  <c r="F141" i="1" s="1"/>
  <c r="D127" i="1"/>
  <c r="H127" i="1" s="1"/>
  <c r="F127" i="1" s="1"/>
  <c r="D126" i="1"/>
  <c r="H126" i="1" s="1"/>
  <c r="F126" i="1" s="1"/>
  <c r="D125" i="1"/>
  <c r="H125" i="1" s="1"/>
  <c r="F125" i="1" s="1"/>
  <c r="D124" i="1"/>
  <c r="H124" i="1" s="1"/>
  <c r="F124" i="1" s="1"/>
  <c r="D123" i="1"/>
  <c r="H123" i="1" s="1"/>
  <c r="F123" i="1" s="1"/>
  <c r="D122" i="1"/>
  <c r="H122" i="1" s="1"/>
  <c r="F122" i="1" s="1"/>
  <c r="D113" i="1"/>
  <c r="H113" i="1" s="1"/>
  <c r="F113" i="1" s="1"/>
  <c r="D111" i="1"/>
  <c r="H111" i="1" s="1"/>
  <c r="F111" i="1" s="1"/>
  <c r="D112" i="1"/>
  <c r="H112" i="1" s="1"/>
  <c r="F112" i="1" s="1"/>
  <c r="D109" i="1"/>
  <c r="H109" i="1" s="1"/>
  <c r="F109" i="1" s="1"/>
  <c r="D108" i="1"/>
  <c r="H108" i="1" s="1"/>
  <c r="F108" i="1" s="1"/>
  <c r="D93" i="1"/>
  <c r="H93" i="1" s="1"/>
  <c r="F93" i="1" s="1"/>
  <c r="D90" i="1"/>
  <c r="H90" i="1" s="1"/>
  <c r="F90" i="1" s="1"/>
  <c r="D87" i="1"/>
  <c r="H87" i="1" s="1"/>
  <c r="F87" i="1" s="1"/>
  <c r="D69" i="1"/>
  <c r="H69" i="1" s="1"/>
  <c r="F69" i="1" s="1"/>
  <c r="D68" i="1"/>
  <c r="H68" i="1" s="1"/>
  <c r="F68" i="1" s="1"/>
  <c r="H67" i="1"/>
  <c r="F67" i="1" s="1"/>
  <c r="D66" i="1"/>
  <c r="H66" i="1" s="1"/>
  <c r="F66" i="1" s="1"/>
  <c r="D65" i="1"/>
  <c r="H65" i="1" s="1"/>
  <c r="F65" i="1" s="1"/>
  <c r="D64" i="1"/>
  <c r="H64" i="1" s="1"/>
  <c r="F64" i="1" s="1"/>
  <c r="H63" i="1"/>
  <c r="F63" i="1" s="1"/>
  <c r="D62" i="1"/>
  <c r="H62" i="1" s="1"/>
  <c r="F62" i="1" s="1"/>
  <c r="D49" i="1"/>
  <c r="H49" i="1" s="1"/>
  <c r="F49" i="1" s="1"/>
  <c r="D48" i="1"/>
  <c r="H48" i="1" s="1"/>
  <c r="F48" i="1" s="1"/>
  <c r="D47" i="1"/>
  <c r="H47" i="1" s="1"/>
  <c r="F47" i="1" s="1"/>
  <c r="D39" i="1"/>
  <c r="H39" i="1" s="1"/>
  <c r="F39" i="1" s="1"/>
  <c r="D38" i="1"/>
  <c r="H38" i="1" s="1"/>
  <c r="F38" i="1" s="1"/>
  <c r="D37" i="1"/>
  <c r="H37" i="1" s="1"/>
  <c r="F37" i="1" s="1"/>
  <c r="D22" i="1"/>
  <c r="H22" i="1" s="1"/>
  <c r="F22" i="1" s="1"/>
  <c r="D19" i="1"/>
  <c r="H19" i="1" s="1"/>
  <c r="F19" i="1" s="1"/>
  <c r="H18" i="1"/>
  <c r="D6" i="1"/>
  <c r="H6" i="1" s="1"/>
  <c r="F6" i="1" s="1"/>
  <c r="D5" i="1"/>
  <c r="H5" i="1" s="1"/>
  <c r="F5" i="1" s="1"/>
  <c r="D4" i="1"/>
  <c r="H4" i="1" s="1"/>
  <c r="F4" i="1" s="1"/>
  <c r="F18" i="1" l="1"/>
  <c r="H34" i="1"/>
  <c r="H204" i="1"/>
  <c r="F204" i="1" s="1"/>
  <c r="J267" i="1"/>
  <c r="D640" i="1" l="1"/>
  <c r="J640" i="1"/>
  <c r="J550" i="1"/>
  <c r="J531" i="1" l="1"/>
  <c r="F531" i="1" s="1"/>
  <c r="H640" i="1" l="1"/>
  <c r="F640" i="1" s="1"/>
  <c r="J558" i="1"/>
  <c r="D558" i="1"/>
  <c r="D550" i="1"/>
  <c r="H550" i="1" l="1"/>
  <c r="F550" i="1" s="1"/>
  <c r="D479" i="1"/>
  <c r="J479" i="1"/>
  <c r="H522" i="1" l="1"/>
  <c r="F522" i="1" s="1"/>
  <c r="H479" i="1" l="1"/>
  <c r="F479" i="1" s="1"/>
  <c r="J456" i="1"/>
  <c r="F456" i="1" s="1"/>
  <c r="D456" i="1"/>
  <c r="D450" i="1"/>
  <c r="J450" i="1"/>
  <c r="F450" i="1" s="1"/>
  <c r="J406" i="1" l="1"/>
  <c r="J416" i="1"/>
  <c r="F416" i="1" s="1"/>
  <c r="D416" i="1"/>
  <c r="H352" i="1" l="1"/>
  <c r="D352" i="1"/>
  <c r="D406" i="1"/>
  <c r="J332" i="1"/>
  <c r="H406" i="1" l="1"/>
  <c r="F406" i="1" s="1"/>
  <c r="J352" i="1"/>
  <c r="F352" i="1" s="1"/>
  <c r="D311" i="1"/>
  <c r="H332" i="1" l="1"/>
  <c r="F332" i="1" s="1"/>
  <c r="D227" i="1"/>
  <c r="D267" i="1"/>
  <c r="D302" i="1"/>
  <c r="J302" i="1"/>
  <c r="H311" i="1" l="1"/>
  <c r="F311" i="1" s="1"/>
  <c r="J214" i="1"/>
  <c r="J227" i="1"/>
  <c r="D214" i="1"/>
  <c r="D204" i="1"/>
  <c r="H302" i="1" l="1"/>
  <c r="F302" i="1" s="1"/>
  <c r="H267" i="1"/>
  <c r="F267" i="1" s="1"/>
  <c r="H227" i="1" l="1"/>
  <c r="F227" i="1" s="1"/>
  <c r="H214" i="1"/>
  <c r="F214" i="1" s="1"/>
  <c r="J60" i="1"/>
  <c r="F60" i="1" s="1"/>
  <c r="J85" i="1"/>
  <c r="J103" i="1"/>
  <c r="J120" i="1"/>
  <c r="J139" i="1"/>
  <c r="J158" i="1"/>
  <c r="H158" i="1" l="1"/>
  <c r="F158" i="1" s="1"/>
  <c r="H139" i="1" l="1"/>
  <c r="F139" i="1" s="1"/>
  <c r="H120" i="1" l="1"/>
  <c r="F120" i="1" s="1"/>
  <c r="H85" i="1" l="1"/>
  <c r="F85" i="1" s="1"/>
  <c r="H103" i="1"/>
  <c r="F103" i="1" s="1"/>
  <c r="J54" i="1"/>
  <c r="H54" i="1" s="1"/>
  <c r="F54" i="1" s="1"/>
  <c r="J56" i="1" l="1"/>
  <c r="J45" i="1"/>
  <c r="H56" i="1" l="1"/>
  <c r="F56" i="1" s="1"/>
  <c r="H45" i="1" l="1"/>
  <c r="F45" i="1" s="1"/>
  <c r="J34" i="1"/>
  <c r="F34" i="1" s="1"/>
  <c r="D206" i="1" l="1"/>
  <c r="D552" i="1" s="1"/>
  <c r="J14" i="1"/>
  <c r="J206" i="1" s="1"/>
  <c r="J552" i="1" s="1"/>
  <c r="J578" i="1" l="1"/>
  <c r="N573" i="1"/>
  <c r="J574" i="1"/>
  <c r="N574" i="1" s="1"/>
  <c r="N576" i="1" s="1"/>
  <c r="D578" i="1"/>
  <c r="M573" i="1"/>
  <c r="D574" i="1"/>
  <c r="M574" i="1" s="1"/>
  <c r="M576" i="1" s="1"/>
  <c r="H14" i="1"/>
  <c r="F14" i="1" s="1"/>
  <c r="H206" i="1" l="1"/>
  <c r="H552" i="1" s="1"/>
  <c r="H578" i="1"/>
  <c r="H583" i="1" s="1"/>
  <c r="D583" i="1"/>
  <c r="F206" i="1" l="1"/>
  <c r="F552" i="1"/>
  <c r="H558" i="1" l="1"/>
  <c r="F558" i="1" l="1"/>
  <c r="H574" i="1"/>
  <c r="F574" i="1" l="1"/>
</calcChain>
</file>

<file path=xl/sharedStrings.xml><?xml version="1.0" encoding="utf-8"?>
<sst xmlns="http://schemas.openxmlformats.org/spreadsheetml/2006/main" count="8259" uniqueCount="466">
  <si>
    <t>ORG</t>
  </si>
  <si>
    <t>OBJ</t>
  </si>
  <si>
    <t>ACCOUNT DESCRIPTION</t>
  </si>
  <si>
    <t>40402</t>
  </si>
  <si>
    <t>Fees &amp; Fines</t>
  </si>
  <si>
    <t/>
  </si>
  <si>
    <t>12020500</t>
  </si>
  <si>
    <t>50108</t>
  </si>
  <si>
    <t>Elected Officals</t>
  </si>
  <si>
    <t>50202</t>
  </si>
  <si>
    <t>Workers Comp Insurance</t>
  </si>
  <si>
    <t>50230</t>
  </si>
  <si>
    <t>FICA Employer Costs</t>
  </si>
  <si>
    <t>50301</t>
  </si>
  <si>
    <t>Office Supplies</t>
  </si>
  <si>
    <t>50302</t>
  </si>
  <si>
    <t>Operating supplies</t>
  </si>
  <si>
    <t>50305</t>
  </si>
  <si>
    <t>Books and Periodicals</t>
  </si>
  <si>
    <t>50306</t>
  </si>
  <si>
    <t>Postage</t>
  </si>
  <si>
    <t>50307</t>
  </si>
  <si>
    <t>Advertising</t>
  </si>
  <si>
    <t>50401</t>
  </si>
  <si>
    <t>Professional Development</t>
  </si>
  <si>
    <t>50960</t>
  </si>
  <si>
    <t>Employee Recognition</t>
  </si>
  <si>
    <t>12021000</t>
  </si>
  <si>
    <t>50101</t>
  </si>
  <si>
    <t>Town Manager</t>
  </si>
  <si>
    <t>50104</t>
  </si>
  <si>
    <t>Non Supervisory</t>
  </si>
  <si>
    <t>50107</t>
  </si>
  <si>
    <t>Administrative</t>
  </si>
  <si>
    <t>50201</t>
  </si>
  <si>
    <t>Unemployment Costs</t>
  </si>
  <si>
    <t>50210</t>
  </si>
  <si>
    <t>MEPERS - Employer Share</t>
  </si>
  <si>
    <t>50220</t>
  </si>
  <si>
    <t>Health Insurance</t>
  </si>
  <si>
    <t>50352</t>
  </si>
  <si>
    <t>Cell Phone/Allowances</t>
  </si>
  <si>
    <t>50402</t>
  </si>
  <si>
    <t>Dues and Memberships</t>
  </si>
  <si>
    <t>50413</t>
  </si>
  <si>
    <t>Mileage/ travel reimbursement</t>
  </si>
  <si>
    <t>50452</t>
  </si>
  <si>
    <t>Audit services</t>
  </si>
  <si>
    <t>12021500</t>
  </si>
  <si>
    <t>Elected Officials</t>
  </si>
  <si>
    <t>12021600</t>
  </si>
  <si>
    <t>50451</t>
  </si>
  <si>
    <t>Contracted Professional Servic</t>
  </si>
  <si>
    <t>12022000</t>
  </si>
  <si>
    <t>50450</t>
  </si>
  <si>
    <t>Legal expense</t>
  </si>
  <si>
    <t>12022500</t>
  </si>
  <si>
    <t>50102</t>
  </si>
  <si>
    <t>Department Head</t>
  </si>
  <si>
    <t>50130</t>
  </si>
  <si>
    <t>Temporary/seasonal</t>
  </si>
  <si>
    <t>50140</t>
  </si>
  <si>
    <t>Overtime wages</t>
  </si>
  <si>
    <t>50308</t>
  </si>
  <si>
    <t>Printing</t>
  </si>
  <si>
    <t>50412</t>
  </si>
  <si>
    <t>Meals and Lodging</t>
  </si>
  <si>
    <t>50455</t>
  </si>
  <si>
    <t>Profesional Services</t>
  </si>
  <si>
    <t>50536</t>
  </si>
  <si>
    <t>R&amp;M: Equipment</t>
  </si>
  <si>
    <t>50710</t>
  </si>
  <si>
    <t>Equipment</t>
  </si>
  <si>
    <t>12023000</t>
  </si>
  <si>
    <t>12023500</t>
  </si>
  <si>
    <t>Overtime</t>
  </si>
  <si>
    <t>50470</t>
  </si>
  <si>
    <t>Registry Services</t>
  </si>
  <si>
    <t>12024000</t>
  </si>
  <si>
    <t>Non-supervisory wages</t>
  </si>
  <si>
    <t>50624</t>
  </si>
  <si>
    <t>Mapping &amp; Microfiliming</t>
  </si>
  <si>
    <t>53935</t>
  </si>
  <si>
    <t>Revaluation</t>
  </si>
  <si>
    <t>12024500</t>
  </si>
  <si>
    <t>50375</t>
  </si>
  <si>
    <t>Gas</t>
  </si>
  <si>
    <t>50501</t>
  </si>
  <si>
    <t>Vehicle Repairs</t>
  </si>
  <si>
    <t>12025500</t>
  </si>
  <si>
    <t>50221</t>
  </si>
  <si>
    <t>HRA Costs</t>
  </si>
  <si>
    <t>50601</t>
  </si>
  <si>
    <t>General Liability</t>
  </si>
  <si>
    <t>50602</t>
  </si>
  <si>
    <t>Vehicle Insurance</t>
  </si>
  <si>
    <t>50603</t>
  </si>
  <si>
    <t>Police Liability</t>
  </si>
  <si>
    <t>50604</t>
  </si>
  <si>
    <t>Property Insurance</t>
  </si>
  <si>
    <t>50606</t>
  </si>
  <si>
    <t>Crime Insurance</t>
  </si>
  <si>
    <t>50607</t>
  </si>
  <si>
    <t>Public Officials</t>
  </si>
  <si>
    <t>50608</t>
  </si>
  <si>
    <t>Employment Liability</t>
  </si>
  <si>
    <t>50609</t>
  </si>
  <si>
    <t>Public Officials Bond Insuranc</t>
  </si>
  <si>
    <t>50610</t>
  </si>
  <si>
    <t>Critical Incident Ins.</t>
  </si>
  <si>
    <t>12026500</t>
  </si>
  <si>
    <t>50360</t>
  </si>
  <si>
    <t>Minor equipment</t>
  </si>
  <si>
    <t>50454</t>
  </si>
  <si>
    <t>Internet and website hosting</t>
  </si>
  <si>
    <t>50530</t>
  </si>
  <si>
    <t>Software and Services</t>
  </si>
  <si>
    <t>12051500</t>
  </si>
  <si>
    <t>FICA taxes</t>
  </si>
  <si>
    <t>50510</t>
  </si>
  <si>
    <t>Electricity</t>
  </si>
  <si>
    <t>50511</t>
  </si>
  <si>
    <t>Water usage fees</t>
  </si>
  <si>
    <t>50512</t>
  </si>
  <si>
    <t>Telephone</t>
  </si>
  <si>
    <t>50513</t>
  </si>
  <si>
    <t>Sewer Expense</t>
  </si>
  <si>
    <t>50514</t>
  </si>
  <si>
    <t>Heating Fuel</t>
  </si>
  <si>
    <t>50515</t>
  </si>
  <si>
    <t>Natural Gas</t>
  </si>
  <si>
    <t>50520</t>
  </si>
  <si>
    <t>Building Expense</t>
  </si>
  <si>
    <t>50549</t>
  </si>
  <si>
    <t>R &amp; M Buildings</t>
  </si>
  <si>
    <t>13030500</t>
  </si>
  <si>
    <t>13031000</t>
  </si>
  <si>
    <t>Cell Phone allowance</t>
  </si>
  <si>
    <t>50440</t>
  </si>
  <si>
    <t>General Assistance</t>
  </si>
  <si>
    <t>14040500</t>
  </si>
  <si>
    <t>50116</t>
  </si>
  <si>
    <t>Union</t>
  </si>
  <si>
    <t>50117</t>
  </si>
  <si>
    <t>Misc. Police Detail</t>
  </si>
  <si>
    <t>50143</t>
  </si>
  <si>
    <t>Court time</t>
  </si>
  <si>
    <t>50145</t>
  </si>
  <si>
    <t>Replacement Wages</t>
  </si>
  <si>
    <t>50260</t>
  </si>
  <si>
    <t>Uniform cleaning</t>
  </si>
  <si>
    <t>50349</t>
  </si>
  <si>
    <t>Recruitment Testing</t>
  </si>
  <si>
    <t>50351</t>
  </si>
  <si>
    <t>Clothing/Boot Allowance</t>
  </si>
  <si>
    <t>50353</t>
  </si>
  <si>
    <t>Physicals</t>
  </si>
  <si>
    <t>50377</t>
  </si>
  <si>
    <t>Diesel</t>
  </si>
  <si>
    <t>50378</t>
  </si>
  <si>
    <t>Tires Expense</t>
  </si>
  <si>
    <t>50415</t>
  </si>
  <si>
    <t>Education Program</t>
  </si>
  <si>
    <t>50532</t>
  </si>
  <si>
    <t>R&amp;M Office Equipment</t>
  </si>
  <si>
    <t>50720</t>
  </si>
  <si>
    <t>Equipment – vehicles</t>
  </si>
  <si>
    <t>14041500</t>
  </si>
  <si>
    <t>Temporary/seasonal wages</t>
  </si>
  <si>
    <t>50370</t>
  </si>
  <si>
    <t>Parts - Supplies</t>
  </si>
  <si>
    <t>50490</t>
  </si>
  <si>
    <t>Capital Projects Reserve</t>
  </si>
  <si>
    <t>Water Usage</t>
  </si>
  <si>
    <t>50544</t>
  </si>
  <si>
    <t>R &amp; M: Radios</t>
  </si>
  <si>
    <t>50560</t>
  </si>
  <si>
    <t>Fire Fighting Foam</t>
  </si>
  <si>
    <t>50561</t>
  </si>
  <si>
    <t>EMS Supplies</t>
  </si>
  <si>
    <t>50562</t>
  </si>
  <si>
    <t>Personal Protective Equipment</t>
  </si>
  <si>
    <t>50563</t>
  </si>
  <si>
    <t>Hose Replacement</t>
  </si>
  <si>
    <t>14043000</t>
  </si>
  <si>
    <t>50100</t>
  </si>
  <si>
    <t>LEMS Stipend</t>
  </si>
  <si>
    <t>14045000</t>
  </si>
  <si>
    <t>50453</t>
  </si>
  <si>
    <t>Animal Shelter Services</t>
  </si>
  <si>
    <t>14046000</t>
  </si>
  <si>
    <t>15050500</t>
  </si>
  <si>
    <t>50240</t>
  </si>
  <si>
    <t>Medical testing</t>
  </si>
  <si>
    <t>50330</t>
  </si>
  <si>
    <t>Drug Testing</t>
  </si>
  <si>
    <t>50363</t>
  </si>
  <si>
    <t>Culverts</t>
  </si>
  <si>
    <t>50366</t>
  </si>
  <si>
    <t>Asphalt-Hot Top</t>
  </si>
  <si>
    <t>50367</t>
  </si>
  <si>
    <t>Excavation Expense</t>
  </si>
  <si>
    <t>50371</t>
  </si>
  <si>
    <t>Sand &amp; Gravel</t>
  </si>
  <si>
    <t>50376</t>
  </si>
  <si>
    <t>Oils and lubricants</t>
  </si>
  <si>
    <t>50430</t>
  </si>
  <si>
    <t>Filing fees/licenses/permits</t>
  </si>
  <si>
    <t>50535</t>
  </si>
  <si>
    <t>Rental of Equipment</t>
  </si>
  <si>
    <t>50537</t>
  </si>
  <si>
    <t>Equipment Painting</t>
  </si>
  <si>
    <t>50538</t>
  </si>
  <si>
    <t>Loam &amp; Seed</t>
  </si>
  <si>
    <t>50539</t>
  </si>
  <si>
    <t>R&amp;M: Catch Basins &amp; Manhole Cv</t>
  </si>
  <si>
    <t>50541</t>
  </si>
  <si>
    <t>Ground repair and maintenance</t>
  </si>
  <si>
    <t>50545</t>
  </si>
  <si>
    <t>R &amp; M:  TREE REMOVE/REPLA</t>
  </si>
  <si>
    <t>50547</t>
  </si>
  <si>
    <t>R &amp; M: SIGNS</t>
  </si>
  <si>
    <t>50548</t>
  </si>
  <si>
    <t>R &amp; M: STREETS</t>
  </si>
  <si>
    <t>50770</t>
  </si>
  <si>
    <t>Infrastructure- Paving</t>
  </si>
  <si>
    <t>15051000</t>
  </si>
  <si>
    <t>50303</t>
  </si>
  <si>
    <t>Other Supplies</t>
  </si>
  <si>
    <t>15052000</t>
  </si>
  <si>
    <t>Union Negotiations</t>
  </si>
  <si>
    <t>50369</t>
  </si>
  <si>
    <t>Land Fill</t>
  </si>
  <si>
    <t>50556</t>
  </si>
  <si>
    <t>Trash Removal</t>
  </si>
  <si>
    <t>15053500</t>
  </si>
  <si>
    <t>50534</t>
  </si>
  <si>
    <t>Hydrant Rental</t>
  </si>
  <si>
    <t>16060500</t>
  </si>
  <si>
    <t>16061500</t>
  </si>
  <si>
    <t>50355</t>
  </si>
  <si>
    <t>Co-Ed Softball/Fast Pitch</t>
  </si>
  <si>
    <t>50356</t>
  </si>
  <si>
    <t>Summer Trips</t>
  </si>
  <si>
    <t>50357</t>
  </si>
  <si>
    <t>Sunshine Hill</t>
  </si>
  <si>
    <t>50358</t>
  </si>
  <si>
    <t>New Programs</t>
  </si>
  <si>
    <t>50359</t>
  </si>
  <si>
    <t>Officials</t>
  </si>
  <si>
    <t>50380</t>
  </si>
  <si>
    <t>Uniforms/safety equipment</t>
  </si>
  <si>
    <t>50414</t>
  </si>
  <si>
    <t>Senior Meals Expense</t>
  </si>
  <si>
    <t>50522</t>
  </si>
  <si>
    <t>Space Rental</t>
  </si>
  <si>
    <t>Grounds maintenance</t>
  </si>
  <si>
    <t>50542</t>
  </si>
  <si>
    <t>River Trail maint and repair</t>
  </si>
  <si>
    <t>50543</t>
  </si>
  <si>
    <t>R&amp;M: Green Thumb</t>
  </si>
  <si>
    <t>16062000</t>
  </si>
  <si>
    <t>50442</t>
  </si>
  <si>
    <t>Transportation services</t>
  </si>
  <si>
    <t>50650</t>
  </si>
  <si>
    <t>Historical Society</t>
  </si>
  <si>
    <t>50651</t>
  </si>
  <si>
    <t>LACO</t>
  </si>
  <si>
    <t>50652</t>
  </si>
  <si>
    <t>Memorial Day</t>
  </si>
  <si>
    <t>50653</t>
  </si>
  <si>
    <t>MMA</t>
  </si>
  <si>
    <t>17070500</t>
  </si>
  <si>
    <t>Professional employee training</t>
  </si>
  <si>
    <t>50406</t>
  </si>
  <si>
    <t>AVCOG Dues</t>
  </si>
  <si>
    <t>Meal allowance</t>
  </si>
  <si>
    <t>18085000</t>
  </si>
  <si>
    <t>50405</t>
  </si>
  <si>
    <t>PSAP Fees</t>
  </si>
  <si>
    <t>50920</t>
  </si>
  <si>
    <t>County tax</t>
  </si>
  <si>
    <t>38081000</t>
  </si>
  <si>
    <t>53401</t>
  </si>
  <si>
    <t>53403</t>
  </si>
  <si>
    <t>2010 Bond Principal</t>
  </si>
  <si>
    <t>53405</t>
  </si>
  <si>
    <t>2014 QECB Principal</t>
  </si>
  <si>
    <t>53406</t>
  </si>
  <si>
    <t>2017 Bond Principal</t>
  </si>
  <si>
    <t>53409</t>
  </si>
  <si>
    <t>2020 Bond Principal</t>
  </si>
  <si>
    <t>53603</t>
  </si>
  <si>
    <t>2010 Bond Interest</t>
  </si>
  <si>
    <t>53605</t>
  </si>
  <si>
    <t>2014 QECB Interest</t>
  </si>
  <si>
    <t>53607</t>
  </si>
  <si>
    <t>2017 Bond Interest</t>
  </si>
  <si>
    <t>53609</t>
  </si>
  <si>
    <t>2020 Bond Interest</t>
  </si>
  <si>
    <t>53612</t>
  </si>
  <si>
    <t>2022 Bond Int Ferry</t>
  </si>
  <si>
    <t>65052500</t>
  </si>
  <si>
    <t>Admin Wages</t>
  </si>
  <si>
    <t>Maine State retirement</t>
  </si>
  <si>
    <t>50215</t>
  </si>
  <si>
    <t>Admin Benefits</t>
  </si>
  <si>
    <t>Health insurance</t>
  </si>
  <si>
    <t>Office supplies</t>
  </si>
  <si>
    <t>50331</t>
  </si>
  <si>
    <t>Small Tools</t>
  </si>
  <si>
    <t>Mileage/Travel Reimbursement</t>
  </si>
  <si>
    <t>50483</t>
  </si>
  <si>
    <t>Security System Maintenance</t>
  </si>
  <si>
    <t>50546</t>
  </si>
  <si>
    <t>R &amp; M: SEWER</t>
  </si>
  <si>
    <t>50550</t>
  </si>
  <si>
    <t>Meter Read</t>
  </si>
  <si>
    <t>50555</t>
  </si>
  <si>
    <t>Sludge Disposal</t>
  </si>
  <si>
    <t>50557</t>
  </si>
  <si>
    <t>CCTV &amp; Cleaning Out</t>
  </si>
  <si>
    <t>50750</t>
  </si>
  <si>
    <t>Improvements other than buildi</t>
  </si>
  <si>
    <t>50806</t>
  </si>
  <si>
    <t>Bond Administration Fees</t>
  </si>
  <si>
    <t>53307</t>
  </si>
  <si>
    <t>Vactor Lease</t>
  </si>
  <si>
    <t>53400</t>
  </si>
  <si>
    <t>2004 FR Bond Principal</t>
  </si>
  <si>
    <t>2005 FR Bond Principal</t>
  </si>
  <si>
    <t>53600</t>
  </si>
  <si>
    <t>2004 FR Bond Interest</t>
  </si>
  <si>
    <t>53601</t>
  </si>
  <si>
    <t>2005 FR Bond Inteest</t>
  </si>
  <si>
    <t>FY23 Approved Budget Appropriation</t>
  </si>
  <si>
    <t>FY24 Projected Department Head Budget Appropriation</t>
  </si>
  <si>
    <t>FY24 Projected Managerial Budget Appropriation</t>
  </si>
  <si>
    <t xml:space="preserve">FY24 </t>
  </si>
  <si>
    <t xml:space="preserve">FY24   </t>
  </si>
  <si>
    <t xml:space="preserve">FY23  </t>
  </si>
  <si>
    <t>Total 12050500 Elected Officals</t>
  </si>
  <si>
    <t>$Amount Increase/(Decrease) FY23 Budget compared to FY24 Department Head Budget</t>
  </si>
  <si>
    <t>Compare FY24 to FY23</t>
  </si>
  <si>
    <t>% Change between FY23 Approved Budget and FY24 Projected Department Head Budget</t>
  </si>
  <si>
    <t>Total 12021000 Town Manager</t>
  </si>
  <si>
    <t>Total 12021500 Appeals Board</t>
  </si>
  <si>
    <t>Total 12021600 Planning Board</t>
  </si>
  <si>
    <t>Total 12022000 Legal</t>
  </si>
  <si>
    <t>Total 12022500 Clerk</t>
  </si>
  <si>
    <t>Total 12023000 Finance</t>
  </si>
  <si>
    <t>Total 12023500 Tax Collection</t>
  </si>
  <si>
    <t>Total 12024000 Assessor</t>
  </si>
  <si>
    <t>Total 12024500 Code Enforcement</t>
  </si>
  <si>
    <t>NEW POSITION - TAX COLLECTOR/FRONT OFFICE MANAGER</t>
  </si>
  <si>
    <t>3% COLA</t>
  </si>
  <si>
    <t>BRINGING BACK TO ASSESSING INSTEAD OF SPLIT BETWEEN ASSESSING AND CODES PLUS 3% COLA</t>
  </si>
  <si>
    <t>CHANGE IN PERSONNEL AND 3% COLA</t>
  </si>
  <si>
    <t>3% COLA - FILLED POSITIONS WERE LESS THAN FY23 BUDGET</t>
  </si>
  <si>
    <t>UPGRADE TO PERMITTING SOFTWARE</t>
  </si>
  <si>
    <t>CEO GOT A NEW CAR IN FY23</t>
  </si>
  <si>
    <t>Total 12025500 Liability Insurance Progr</t>
  </si>
  <si>
    <t>Total 12026500 Technology</t>
  </si>
  <si>
    <t>Total 12051500 Town Buildings</t>
  </si>
  <si>
    <t>Total 13030500 Health Officer</t>
  </si>
  <si>
    <t>Total 13031000 General Assistance</t>
  </si>
  <si>
    <t>Total 14040500 Police</t>
  </si>
  <si>
    <t>Total 14041500 Fire Department</t>
  </si>
  <si>
    <t>COMMENTS</t>
  </si>
  <si>
    <t>3% COLA AND ADDING 2 FTE</t>
  </si>
  <si>
    <t>2 NEW FTEs</t>
  </si>
  <si>
    <t>Total 14043000 Emergency Management</t>
  </si>
  <si>
    <t>Total 14045000 Animal Control Officer</t>
  </si>
  <si>
    <t>Total 14046000 Lisbon Communications Cen</t>
  </si>
  <si>
    <t>Vehicles</t>
  </si>
  <si>
    <t>Total 38081000 Debt Service-Bonds</t>
  </si>
  <si>
    <t>Total 18085000 County Tax</t>
  </si>
  <si>
    <t>Total 17070500 Economic Development</t>
  </si>
  <si>
    <t>Total 16062000 Other Public Services</t>
  </si>
  <si>
    <t>Total 16061500 Parks &amp; Recreation</t>
  </si>
  <si>
    <t>Total 16060500 Library</t>
  </si>
  <si>
    <t>Total 15053500 Other Public Works</t>
  </si>
  <si>
    <t>Total 15052000 Solid Waste</t>
  </si>
  <si>
    <t>Total 15051000 Winter Operations</t>
  </si>
  <si>
    <t>Total 15050500 Department of Public Work</t>
  </si>
  <si>
    <t>$280,000 FOR SALT</t>
  </si>
  <si>
    <t>3% COLA PLUS $4,800 PARK RANGER STIPEND</t>
  </si>
  <si>
    <t>NEW</t>
  </si>
  <si>
    <t>Bus Transportation</t>
  </si>
  <si>
    <t>EX MARK MOWER, COMMERCIAL SANDER/SALT SPREADER AND BEAVER PARK PLAYGROUND</t>
  </si>
  <si>
    <t xml:space="preserve">NEW </t>
  </si>
  <si>
    <t>Community Engagement Events</t>
  </si>
  <si>
    <t>Total 65052500 Treatment Plant</t>
  </si>
  <si>
    <t>PAID OFF IN FY23</t>
  </si>
  <si>
    <t xml:space="preserve">2022 Bond Principal </t>
  </si>
  <si>
    <t>Total General Fund (including County) and Debt Service Fund</t>
  </si>
  <si>
    <t>12028000</t>
  </si>
  <si>
    <t>51300</t>
  </si>
  <si>
    <t>51310</t>
  </si>
  <si>
    <t>51320</t>
  </si>
  <si>
    <t>51330</t>
  </si>
  <si>
    <t xml:space="preserve">Total 12028000 School </t>
  </si>
  <si>
    <t>Required Local Share</t>
  </si>
  <si>
    <t>Add'l Local Share</t>
  </si>
  <si>
    <t>Local Share Debt</t>
  </si>
  <si>
    <t>Local Share Adult Education</t>
  </si>
  <si>
    <t>Total 12020000 General Government Excluding School</t>
  </si>
  <si>
    <t>Total General Fund Excluding School</t>
  </si>
  <si>
    <t>eliminated trash trailer</t>
  </si>
  <si>
    <t>% Change between Department Head Budget  Appropriation and Managerial Budget Appropriation</t>
  </si>
  <si>
    <t>$ Change between Department Head Budget  Appropriation and Managerial Budget Appropriation</t>
  </si>
  <si>
    <t>compare Managerial to Department</t>
  </si>
  <si>
    <t>parts to refurbish the sweeper</t>
  </si>
  <si>
    <t>SUMMER STREET PARKING $10K and dog park fence $8k</t>
  </si>
  <si>
    <t xml:space="preserve">factoring in a 15% increase; sent message to Rogers Insurance and they are estimating upwards to an 11% increase but are recommending that an appraisal be done, which could increase the premiums. </t>
  </si>
  <si>
    <t>Lodge at Beaver Park - Heat Pump</t>
  </si>
  <si>
    <t xml:space="preserve">3% COLA  </t>
  </si>
  <si>
    <t xml:space="preserve">Looking at this year's numbers for that information </t>
  </si>
  <si>
    <t>separating out senior programs from kids programs</t>
  </si>
  <si>
    <t>Camp supervisor/increase for potential minimum wage increase January 1, 2024</t>
  </si>
  <si>
    <t xml:space="preserve">Scholarships </t>
  </si>
  <si>
    <t>Contracted Professional Svs</t>
  </si>
  <si>
    <t>HR Consulting - Town Manager evaluations</t>
  </si>
  <si>
    <t xml:space="preserve">2 CRUISERS </t>
  </si>
  <si>
    <t xml:space="preserve">3% COLA - Finance Assistant/Payroll Specialist </t>
  </si>
  <si>
    <t>office furniture</t>
  </si>
  <si>
    <t>4% increase on sewer rates</t>
  </si>
  <si>
    <t>seeing an increase to need, especially in winter months</t>
  </si>
  <si>
    <t>K9 Equipment and equipment for cruisers</t>
  </si>
  <si>
    <t>2 NEW FTEs; 2 new radios</t>
  </si>
  <si>
    <t>MEPERS - EMPLOYER SHARE</t>
  </si>
  <si>
    <t>loader and loader plow equipment (eliminated plow truck/equipment and sweeper</t>
  </si>
  <si>
    <t>$1,800 Town Council audience chairs</t>
  </si>
  <si>
    <t>$25,000 front office construction; $68,141 Town Office HVAC updates</t>
  </si>
  <si>
    <t>Harley Davidson - Lease</t>
  </si>
  <si>
    <t>MDA cell phone reimb</t>
  </si>
  <si>
    <t xml:space="preserve">removed ACO truck from Department Head Budget </t>
  </si>
  <si>
    <t>Removed ACO truck equipment from Dept Head Budget</t>
  </si>
  <si>
    <t>Comments</t>
  </si>
  <si>
    <t>FY24 offset - final 1/3rd</t>
  </si>
  <si>
    <t>loader and loader plow equipment (eliminated  sweeper)</t>
  </si>
  <si>
    <t>Total General Fund (excluding County and School)</t>
  </si>
  <si>
    <t>$35,000 retrofitting Council Room and Council Chambers for sound</t>
  </si>
  <si>
    <t>Police laptops</t>
  </si>
  <si>
    <t>employee recognition (season tickets)</t>
  </si>
  <si>
    <t>Proposed GF Budget Excluding County, Debt &amp; School</t>
  </si>
  <si>
    <t>Total GF including School and County</t>
  </si>
  <si>
    <t>Plus Debt Service</t>
  </si>
  <si>
    <t>FY24</t>
  </si>
  <si>
    <t>FY23</t>
  </si>
  <si>
    <t>Total GF (Excluding County &amp; School) plus Debt Service net of offset</t>
  </si>
  <si>
    <t>Total General Fund (Excluding County &amp; School) plus Debt Service Fund</t>
  </si>
  <si>
    <t>Total General Fund (excluding County &amp; School) plus Debt Service Fund</t>
  </si>
  <si>
    <t>2/36rds offset in FY23</t>
  </si>
  <si>
    <t xml:space="preserve">EX MARK MOWER, COMMERCIAL SANDER/SALT SPREADER </t>
  </si>
  <si>
    <t>added 507.24 for 5 cmp street lights on main street - annually</t>
  </si>
  <si>
    <t>general gov</t>
  </si>
  <si>
    <t>safety</t>
  </si>
  <si>
    <t>other</t>
  </si>
  <si>
    <t>works</t>
  </si>
  <si>
    <t>services</t>
  </si>
  <si>
    <t>sewer</t>
  </si>
  <si>
    <t>personnel</t>
  </si>
  <si>
    <t>rm op</t>
  </si>
  <si>
    <t>contract</t>
  </si>
  <si>
    <t>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</si>
</sst>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3" fontId="0" fillId="0" borderId="0" xfId="0" applyNumberFormat="1"/>
    <xf numFmtId="44" fontId="0" fillId="0" borderId="0" xfId="1" applyFont="1"/>
    <xf numFmtId="44" fontId="1" fillId="0" borderId="0" xfId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44" fontId="1" fillId="0" borderId="1" xfId="1" applyFont="1" applyBorder="1" applyAlignment="1">
      <alignment horizontal="center"/>
    </xf>
    <xf numFmtId="44" fontId="0" fillId="2" borderId="2" xfId="1" applyFont="1" applyFill="1" applyBorder="1"/>
    <xf numFmtId="44" fontId="0" fillId="3" borderId="2" xfId="1" applyFont="1" applyFill="1" applyBorder="1"/>
    <xf numFmtId="3" fontId="0" fillId="0" borderId="0" xfId="0" applyNumberFormat="1" applyBorder="1"/>
    <xf numFmtId="44" fontId="0" fillId="0" borderId="0" xfId="1" applyFont="1" applyBorder="1"/>
    <xf numFmtId="43" fontId="0" fillId="3" borderId="2" xfId="2" applyFont="1" applyFill="1" applyBorder="1"/>
    <xf numFmtId="10" fontId="0" fillId="3" borderId="2" xfId="3" applyNumberFormat="1" applyFont="1" applyFill="1" applyBorder="1"/>
    <xf numFmtId="10" fontId="0" fillId="2" borderId="2" xfId="1" applyNumberFormat="1" applyFont="1" applyFill="1" applyBorder="1"/>
    <xf numFmtId="10" fontId="0" fillId="2" borderId="2" xfId="3" applyNumberFormat="1" applyFont="1" applyFill="1" applyBorder="1"/>
    <xf numFmtId="3" fontId="0" fillId="3" borderId="2" xfId="0" applyNumberFormat="1" applyFill="1" applyBorder="1"/>
    <xf numFmtId="44" fontId="0" fillId="4" borderId="2" xfId="1" applyFont="1" applyFill="1" applyBorder="1"/>
    <xf numFmtId="3" fontId="0" fillId="2" borderId="2" xfId="0" applyNumberFormat="1" applyFill="1" applyBorder="1"/>
    <xf numFmtId="9" fontId="0" fillId="0" borderId="0" xfId="3" applyFont="1"/>
    <xf numFmtId="0" fontId="0" fillId="0" borderId="0" xfId="0" quotePrefix="1"/>
    <xf numFmtId="0" fontId="0" fillId="0" borderId="0" xfId="0" applyAlignment="1">
      <alignment wrapText="1"/>
    </xf>
    <xf numFmtId="43" fontId="0" fillId="0" borderId="0" xfId="2" applyFont="1"/>
    <xf numFmtId="44" fontId="1" fillId="0" borderId="3" xfId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0" fillId="0" borderId="0" xfId="0" applyNumberFormat="1" applyFill="1"/>
    <xf numFmtId="44" fontId="0" fillId="0" borderId="0" xfId="1" applyFont="1" applyFill="1"/>
    <xf numFmtId="10" fontId="0" fillId="4" borderId="2" xfId="3" applyNumberFormat="1" applyFont="1" applyFill="1" applyBorder="1"/>
    <xf numFmtId="3" fontId="3" fillId="3" borderId="2" xfId="0" applyNumberFormat="1" applyFont="1" applyFill="1" applyBorder="1"/>
    <xf numFmtId="9" fontId="0" fillId="2" borderId="2" xfId="3" applyFont="1" applyFill="1" applyBorder="1"/>
    <xf numFmtId="0" fontId="0" fillId="0" borderId="0" xfId="0" applyFill="1"/>
    <xf numFmtId="0" fontId="1" fillId="0" borderId="0" xfId="0" applyFont="1" applyFill="1"/>
    <xf numFmtId="44" fontId="0" fillId="0" borderId="0" xfId="1" applyFont="1" applyFill="1" applyBorder="1"/>
    <xf numFmtId="10" fontId="0" fillId="0" borderId="0" xfId="3" applyNumberFormat="1" applyFont="1" applyFill="1" applyBorder="1"/>
    <xf numFmtId="0" fontId="1" fillId="0" borderId="0" xfId="0" applyFont="1" applyFill="1" applyAlignment="1">
      <alignment wrapText="1"/>
    </xf>
    <xf numFmtId="3" fontId="0" fillId="0" borderId="0" xfId="0" applyNumberFormat="1" applyFill="1" applyBorder="1"/>
    <xf numFmtId="9" fontId="0" fillId="3" borderId="2" xfId="3" applyFont="1" applyFill="1" applyBorder="1"/>
    <xf numFmtId="164" fontId="0" fillId="3" borderId="2" xfId="3" applyNumberFormat="1" applyFont="1" applyFill="1" applyBorder="1"/>
    <xf numFmtId="0" fontId="1" fillId="0" borderId="1" xfId="0" applyFont="1" applyBorder="1" applyAlignment="1">
      <alignment horizontal="center" wrapText="1"/>
    </xf>
    <xf numFmtId="0" fontId="3" fillId="0" borderId="0" xfId="0" applyFont="1"/>
    <xf numFmtId="0" fontId="0" fillId="3" borderId="2" xfId="3" applyNumberFormat="1" applyFont="1" applyFill="1" applyBorder="1"/>
    <xf numFmtId="164" fontId="0" fillId="2" borderId="2" xfId="3" applyNumberFormat="1" applyFont="1" applyFill="1" applyBorder="1"/>
    <xf numFmtId="44" fontId="3" fillId="4" borderId="2" xfId="1" applyFont="1" applyFill="1" applyBorder="1"/>
    <xf numFmtId="3" fontId="3" fillId="0" borderId="0" xfId="0" applyNumberFormat="1" applyFont="1"/>
    <xf numFmtId="164" fontId="3" fillId="3" borderId="2" xfId="3" applyNumberFormat="1" applyFont="1" applyFill="1" applyBorder="1"/>
    <xf numFmtId="43" fontId="3" fillId="3" borderId="2" xfId="2" applyFont="1" applyFill="1" applyBorder="1"/>
    <xf numFmtId="10" fontId="3" fillId="3" borderId="2" xfId="3" applyNumberFormat="1" applyFont="1" applyFill="1" applyBorder="1"/>
    <xf numFmtId="4" fontId="0" fillId="3" borderId="2" xfId="0" applyNumberFormat="1" applyFill="1" applyBorder="1"/>
    <xf numFmtId="4" fontId="3" fillId="3" borderId="2" xfId="0" applyNumberFormat="1" applyFont="1" applyFill="1" applyBorder="1"/>
    <xf numFmtId="44" fontId="1" fillId="4" borderId="2" xfId="1" applyFont="1" applyFill="1" applyBorder="1"/>
    <xf numFmtId="10" fontId="1" fillId="4" borderId="2" xfId="3" applyNumberFormat="1" applyFont="1" applyFill="1" applyBorder="1"/>
    <xf numFmtId="44" fontId="0" fillId="0" borderId="0" xfId="0" applyNumberFormat="1" applyFill="1"/>
    <xf numFmtId="44" fontId="0" fillId="0" borderId="4" xfId="0" applyNumberFormat="1" applyFill="1" applyBorder="1"/>
    <xf numFmtId="44" fontId="0" fillId="0" borderId="5" xfId="0" applyNumberFormat="1" applyFill="1" applyBorder="1"/>
    <xf numFmtId="0" fontId="0" fillId="0" borderId="0" xfId="0" applyAlignment="1">
      <alignment horizontal="center"/>
    </xf>
    <xf numFmtId="43" fontId="0" fillId="3" borderId="2" xfId="2" applyNumberFormat="1" applyFont="1" applyFill="1" applyBorder="1"/>
    <xf numFmtId="43" fontId="0" fillId="3" borderId="2" xfId="0" applyNumberFormat="1" applyFill="1" applyBorder="1"/>
    <xf numFmtId="44" fontId="1" fillId="2" borderId="2" xfId="1" applyFont="1" applyFill="1" applyBorder="1"/>
    <xf numFmtId="3" fontId="1" fillId="0" borderId="0" xfId="0" applyNumberFormat="1" applyFont="1"/>
    <xf numFmtId="10" fontId="1" fillId="2" borderId="2" xfId="3" applyNumberFormat="1" applyFont="1" applyFill="1" applyBorder="1"/>
    <xf numFmtId="4" fontId="0" fillId="3" borderId="2" xfId="2" applyNumberFormat="1" applyFont="1" applyFill="1" applyBorder="1"/>
    <xf numFmtId="44" fontId="1" fillId="0" borderId="1" xfId="1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wrapText="1"/>
    </xf>
    <xf numFmtId="4" fontId="0" fillId="3" borderId="7" xfId="0" applyNumberFormat="1" applyFill="1" applyBorder="1"/>
    <xf numFmtId="164" fontId="0" fillId="3" borderId="7" xfId="3" applyNumberFormat="1" applyFont="1" applyFill="1" applyBorder="1"/>
    <xf numFmtId="43" fontId="0" fillId="3" borderId="7" xfId="2" applyFont="1" applyFill="1" applyBorder="1"/>
    <xf numFmtId="44" fontId="0" fillId="3" borderId="7" xfId="1" applyFont="1" applyFill="1" applyBorder="1"/>
    <xf numFmtId="0" fontId="0" fillId="0" borderId="0" xfId="0" applyFill="1" applyBorder="1"/>
    <xf numFmtId="0" fontId="1" fillId="0" borderId="0" xfId="0" applyFont="1" applyFill="1" applyBorder="1"/>
    <xf numFmtId="43" fontId="0" fillId="0" borderId="0" xfId="2" applyFont="1" applyFill="1"/>
    <xf numFmtId="43" fontId="0" fillId="0" borderId="5" xfId="2" applyFont="1" applyFill="1" applyBorder="1"/>
    <xf numFmtId="49" fontId="0" fillId="0" borderId="0" xfId="0" applyNumberFormat="1"/>
  </cellXfs>
  <cellStyles count="4">
    <cellStyle name="Comma" xfId="2" builtinId="3"/>
    <cellStyle name="Currency" xfId="1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23"/>
  <sheetViews>
    <sheetView tabSelected="1" zoomScaleNormal="100" workbookViewId="0">
      <pane xSplit="3" ySplit="3" topLeftCell="D538" activePane="bottomRight" state="frozen"/>
      <selection pane="topRight" activeCell="D1" sqref="D1"/>
      <selection pane="bottomLeft" activeCell="A4" sqref="A4"/>
      <selection pane="bottomRight" activeCell="C555" sqref="C555"/>
    </sheetView>
  </sheetViews>
  <sheetFormatPr defaultRowHeight="15" x14ac:dyDescent="0.25"/>
  <cols>
    <col min="1" max="1" width="9.5703125" customWidth="1"/>
    <col min="2" max="2" width="8.42578125" customWidth="1"/>
    <col min="3" max="3" width="49.7109375" customWidth="1"/>
    <col min="4" max="4" width="21.140625" customWidth="1"/>
    <col min="5" max="5" width="3.42578125" customWidth="1"/>
    <col min="6" max="6" width="18" customWidth="1"/>
    <col min="7" max="7" width="3.42578125" customWidth="1"/>
    <col min="8" max="8" width="18" customWidth="1"/>
    <col min="9" max="9" width="3.42578125" customWidth="1"/>
    <col min="10" max="10" width="20" style="3" customWidth="1"/>
    <col min="11" max="11" width="3.42578125" customWidth="1"/>
    <col min="12" max="12" width="55.28515625" customWidth="1"/>
    <col min="13" max="14" width="15.28515625" customWidth="1"/>
    <col min="15" max="17" width="9.140625" customWidth="1"/>
  </cols>
  <sheetData>
    <row r="1" spans="1:14" ht="15.75" thickBot="1" x14ac:dyDescent="0.3"/>
    <row r="2" spans="1:14" ht="45.75" thickBot="1" x14ac:dyDescent="0.3">
      <c r="D2" s="6" t="s">
        <v>338</v>
      </c>
      <c r="F2" s="38" t="s">
        <v>411</v>
      </c>
      <c r="H2" s="38" t="s">
        <v>411</v>
      </c>
      <c r="J2" s="7" t="s">
        <v>340</v>
      </c>
      <c r="L2" s="24" t="s">
        <v>368</v>
      </c>
    </row>
    <row r="3" spans="1:14" ht="105" x14ac:dyDescent="0.25">
      <c r="A3" s="1" t="s">
        <v>0</v>
      </c>
      <c r="B3" s="1" t="s">
        <v>1</v>
      </c>
      <c r="C3" s="1" t="s">
        <v>2</v>
      </c>
      <c r="D3" s="5" t="s">
        <v>337</v>
      </c>
      <c r="E3" s="1"/>
      <c r="F3" s="5" t="s">
        <v>409</v>
      </c>
      <c r="G3" s="1"/>
      <c r="H3" s="5" t="s">
        <v>410</v>
      </c>
      <c r="I3" s="1"/>
      <c r="J3" s="4" t="s">
        <v>335</v>
      </c>
      <c r="K3" s="1"/>
    </row>
    <row r="4" spans="1:14" x14ac:dyDescent="0.25">
      <c r="A4" t="s">
        <v>6</v>
      </c>
      <c r="B4" t="s">
        <v>7</v>
      </c>
      <c r="C4" t="s">
        <v>8</v>
      </c>
      <c r="D4" s="12">
        <v>22583</v>
      </c>
      <c r="E4" s="2"/>
      <c r="F4" s="13">
        <f>H4/J4</f>
        <v>0.15762763994258766</v>
      </c>
      <c r="G4" s="2"/>
      <c r="H4" s="12">
        <f t="shared" ref="H4:H12" si="0">D4-J4</f>
        <v>3075</v>
      </c>
      <c r="I4" s="2"/>
      <c r="J4" s="12">
        <v>19508</v>
      </c>
      <c r="K4" s="2"/>
      <c r="M4" t="s">
        <v>456</v>
      </c>
      <c r="N4" t="s">
        <v>462</v>
      </c>
    </row>
    <row r="5" spans="1:14" x14ac:dyDescent="0.25">
      <c r="A5" t="s">
        <v>6</v>
      </c>
      <c r="B5" t="s">
        <v>9</v>
      </c>
      <c r="C5" t="s">
        <v>10</v>
      </c>
      <c r="D5" s="12">
        <f>ROUNDUP((91.23),0)</f>
        <v>92</v>
      </c>
      <c r="E5" s="2"/>
      <c r="F5" s="13">
        <f>H5/J5</f>
        <v>0.61403508771929827</v>
      </c>
      <c r="G5" s="2"/>
      <c r="H5" s="12">
        <f t="shared" si="0"/>
        <v>35</v>
      </c>
      <c r="I5" s="2"/>
      <c r="J5" s="12">
        <v>57</v>
      </c>
      <c r="K5" s="2"/>
      <c r="M5" t="s">
        <v>456</v>
      </c>
      <c r="N5" t="s">
        <v>462</v>
      </c>
    </row>
    <row r="6" spans="1:14" x14ac:dyDescent="0.25">
      <c r="A6" t="s">
        <v>6</v>
      </c>
      <c r="B6" t="s">
        <v>11</v>
      </c>
      <c r="C6" t="s">
        <v>12</v>
      </c>
      <c r="D6" s="12">
        <f>D4*0.0765</f>
        <v>1727.5995</v>
      </c>
      <c r="E6" s="2"/>
      <c r="F6" s="13">
        <f>H6/J6</f>
        <v>0.1579085120643432</v>
      </c>
      <c r="G6" s="2"/>
      <c r="H6" s="12">
        <f t="shared" si="0"/>
        <v>235.59950000000003</v>
      </c>
      <c r="I6" s="2"/>
      <c r="J6" s="12">
        <v>1492</v>
      </c>
      <c r="K6" s="2"/>
      <c r="M6" t="s">
        <v>456</v>
      </c>
      <c r="N6" t="s">
        <v>462</v>
      </c>
    </row>
    <row r="7" spans="1:14" x14ac:dyDescent="0.25">
      <c r="A7" t="s">
        <v>6</v>
      </c>
      <c r="B7" t="s">
        <v>13</v>
      </c>
      <c r="C7" t="s">
        <v>14</v>
      </c>
      <c r="D7" s="12">
        <v>250</v>
      </c>
      <c r="E7" s="2"/>
      <c r="F7" s="13">
        <f>H7/J7</f>
        <v>-0.5</v>
      </c>
      <c r="G7" s="2"/>
      <c r="H7" s="12">
        <f t="shared" si="0"/>
        <v>-250</v>
      </c>
      <c r="I7" s="2"/>
      <c r="J7" s="12">
        <v>500</v>
      </c>
      <c r="K7" s="2"/>
      <c r="M7" t="s">
        <v>456</v>
      </c>
      <c r="N7" t="s">
        <v>463</v>
      </c>
    </row>
    <row r="8" spans="1:14" x14ac:dyDescent="0.25">
      <c r="A8" t="s">
        <v>6</v>
      </c>
      <c r="B8" t="s">
        <v>17</v>
      </c>
      <c r="C8" t="s">
        <v>18</v>
      </c>
      <c r="D8" s="12">
        <v>150</v>
      </c>
      <c r="E8" s="2"/>
      <c r="F8" s="13">
        <v>1</v>
      </c>
      <c r="G8" s="2"/>
      <c r="H8" s="12">
        <f t="shared" si="0"/>
        <v>150</v>
      </c>
      <c r="I8" s="2"/>
      <c r="J8" s="12">
        <v>0</v>
      </c>
      <c r="K8" s="2"/>
      <c r="M8" t="s">
        <v>456</v>
      </c>
      <c r="N8" t="s">
        <v>463</v>
      </c>
    </row>
    <row r="9" spans="1:14" x14ac:dyDescent="0.25">
      <c r="A9" t="s">
        <v>6</v>
      </c>
      <c r="B9" t="s">
        <v>19</v>
      </c>
      <c r="C9" t="s">
        <v>20</v>
      </c>
      <c r="D9" s="12">
        <v>50</v>
      </c>
      <c r="E9" s="2"/>
      <c r="F9" s="13">
        <f>H9/J9</f>
        <v>0</v>
      </c>
      <c r="G9" s="2"/>
      <c r="H9" s="12">
        <f t="shared" si="0"/>
        <v>0</v>
      </c>
      <c r="I9" s="2"/>
      <c r="J9" s="12">
        <v>50</v>
      </c>
      <c r="K9" s="2"/>
      <c r="M9" t="s">
        <v>456</v>
      </c>
      <c r="N9" t="s">
        <v>463</v>
      </c>
    </row>
    <row r="10" spans="1:14" x14ac:dyDescent="0.25">
      <c r="A10" t="s">
        <v>6</v>
      </c>
      <c r="B10" t="s">
        <v>21</v>
      </c>
      <c r="C10" t="s">
        <v>22</v>
      </c>
      <c r="D10" s="12">
        <v>0</v>
      </c>
      <c r="E10" s="2"/>
      <c r="F10" s="13">
        <f>H10/J10</f>
        <v>-1</v>
      </c>
      <c r="G10" s="2"/>
      <c r="H10" s="12">
        <f t="shared" si="0"/>
        <v>-800</v>
      </c>
      <c r="I10" s="2"/>
      <c r="J10" s="12">
        <v>800</v>
      </c>
      <c r="K10" s="2"/>
      <c r="M10" t="s">
        <v>456</v>
      </c>
      <c r="N10" t="s">
        <v>463</v>
      </c>
    </row>
    <row r="11" spans="1:14" x14ac:dyDescent="0.25">
      <c r="A11" t="s">
        <v>6</v>
      </c>
      <c r="B11" t="s">
        <v>23</v>
      </c>
      <c r="C11" t="s">
        <v>24</v>
      </c>
      <c r="D11" s="12">
        <v>500</v>
      </c>
      <c r="E11" s="2"/>
      <c r="F11" s="13">
        <f>H11/J11</f>
        <v>0</v>
      </c>
      <c r="G11" s="2"/>
      <c r="H11" s="12">
        <f t="shared" si="0"/>
        <v>0</v>
      </c>
      <c r="I11" s="2"/>
      <c r="J11" s="12">
        <v>500</v>
      </c>
      <c r="K11" s="2"/>
      <c r="M11" t="s">
        <v>456</v>
      </c>
      <c r="N11" t="s">
        <v>462</v>
      </c>
    </row>
    <row r="12" spans="1:14" x14ac:dyDescent="0.25">
      <c r="A12" t="s">
        <v>6</v>
      </c>
      <c r="B12" t="s">
        <v>25</v>
      </c>
      <c r="C12" t="s">
        <v>26</v>
      </c>
      <c r="D12" s="12">
        <f>5000+1200</f>
        <v>6200</v>
      </c>
      <c r="E12" s="2"/>
      <c r="F12" s="13">
        <f>H12/J12</f>
        <v>0.24</v>
      </c>
      <c r="G12" s="2"/>
      <c r="H12" s="12">
        <f t="shared" si="0"/>
        <v>1200</v>
      </c>
      <c r="I12" s="2"/>
      <c r="J12" s="9">
        <v>5000</v>
      </c>
      <c r="K12" s="2"/>
      <c r="L12" t="s">
        <v>444</v>
      </c>
      <c r="M12" t="s">
        <v>456</v>
      </c>
      <c r="N12" t="s">
        <v>462</v>
      </c>
    </row>
    <row r="13" spans="1:14" x14ac:dyDescent="0.25">
      <c r="D13" s="2"/>
      <c r="E13" s="2"/>
      <c r="F13" s="2"/>
      <c r="G13" s="2"/>
      <c r="H13" s="2"/>
      <c r="I13" s="2"/>
      <c r="K13" s="2"/>
    </row>
    <row r="14" spans="1:14" x14ac:dyDescent="0.25">
      <c r="A14" t="s">
        <v>5</v>
      </c>
      <c r="B14" t="s">
        <v>5</v>
      </c>
      <c r="C14" s="1" t="s">
        <v>341</v>
      </c>
      <c r="D14" s="8">
        <f>SUM(D4:D12)</f>
        <v>31552.5995</v>
      </c>
      <c r="E14" s="2"/>
      <c r="F14" s="15">
        <f>H14/J14</f>
        <v>0.13063387322177233</v>
      </c>
      <c r="G14" s="2"/>
      <c r="H14" s="8">
        <f>SUM(H4:H12)</f>
        <v>3645.5995000000003</v>
      </c>
      <c r="I14" s="2"/>
      <c r="J14" s="8">
        <f>SUM(J4:J12)</f>
        <v>27907</v>
      </c>
      <c r="K14" s="2"/>
      <c r="M14" t="s">
        <v>456</v>
      </c>
    </row>
    <row r="15" spans="1:14" x14ac:dyDescent="0.25">
      <c r="D15" s="2"/>
      <c r="E15" s="2"/>
      <c r="F15" s="2"/>
      <c r="G15" s="2"/>
      <c r="H15" s="2"/>
      <c r="I15" s="2"/>
      <c r="K15" s="2"/>
    </row>
    <row r="16" spans="1:14" x14ac:dyDescent="0.25">
      <c r="A16" t="s">
        <v>27</v>
      </c>
      <c r="B16" t="s">
        <v>28</v>
      </c>
      <c r="C16" t="s">
        <v>29</v>
      </c>
      <c r="D16" s="12">
        <v>113300</v>
      </c>
      <c r="E16" s="2"/>
      <c r="F16" s="13">
        <f t="shared" ref="F16:F30" si="1">H16/J16</f>
        <v>1.8701672361086136E-2</v>
      </c>
      <c r="G16" s="2"/>
      <c r="H16" s="12">
        <f t="shared" ref="H16:H32" si="2">D16-J16</f>
        <v>2080</v>
      </c>
      <c r="I16" s="2"/>
      <c r="J16" s="9">
        <v>111220</v>
      </c>
      <c r="K16" s="2"/>
      <c r="L16" t="s">
        <v>355</v>
      </c>
      <c r="M16" t="s">
        <v>456</v>
      </c>
      <c r="N16" t="s">
        <v>462</v>
      </c>
    </row>
    <row r="17" spans="1:14" x14ac:dyDescent="0.25">
      <c r="A17" t="s">
        <v>27</v>
      </c>
      <c r="B17" t="s">
        <v>30</v>
      </c>
      <c r="C17" t="s">
        <v>31</v>
      </c>
      <c r="D17" s="12">
        <f>ROUNDUP((177841.52),0)</f>
        <v>177842</v>
      </c>
      <c r="E17" s="2"/>
      <c r="F17" s="13">
        <f t="shared" si="1"/>
        <v>7.1305081172253842E-2</v>
      </c>
      <c r="G17" s="2"/>
      <c r="H17" s="12">
        <f t="shared" si="2"/>
        <v>11837</v>
      </c>
      <c r="I17" s="2"/>
      <c r="J17" s="9">
        <v>166005</v>
      </c>
      <c r="K17" s="2"/>
      <c r="L17" t="s">
        <v>358</v>
      </c>
      <c r="M17" t="s">
        <v>456</v>
      </c>
      <c r="N17" t="s">
        <v>462</v>
      </c>
    </row>
    <row r="18" spans="1:14" x14ac:dyDescent="0.25">
      <c r="A18" t="s">
        <v>27</v>
      </c>
      <c r="B18" t="s">
        <v>32</v>
      </c>
      <c r="C18" t="s">
        <v>33</v>
      </c>
      <c r="D18" s="12">
        <f>ROUNDUP((48734.4),0)</f>
        <v>48735</v>
      </c>
      <c r="E18" s="2"/>
      <c r="F18" s="13">
        <f t="shared" si="1"/>
        <v>6.5013111888111888E-2</v>
      </c>
      <c r="G18" s="2"/>
      <c r="H18" s="12">
        <f t="shared" si="2"/>
        <v>2975</v>
      </c>
      <c r="I18" s="2"/>
      <c r="J18" s="9">
        <v>45760</v>
      </c>
      <c r="K18" s="2"/>
      <c r="L18" t="s">
        <v>355</v>
      </c>
      <c r="M18" t="s">
        <v>456</v>
      </c>
      <c r="N18" t="s">
        <v>462</v>
      </c>
    </row>
    <row r="19" spans="1:14" x14ac:dyDescent="0.25">
      <c r="A19" t="s">
        <v>27</v>
      </c>
      <c r="B19" t="s">
        <v>34</v>
      </c>
      <c r="C19" t="s">
        <v>35</v>
      </c>
      <c r="D19" s="12">
        <f>ROUNDUP((235.2),0)</f>
        <v>236</v>
      </c>
      <c r="E19" s="2"/>
      <c r="F19" s="13">
        <f t="shared" si="1"/>
        <v>-0.20805369127516779</v>
      </c>
      <c r="G19" s="2"/>
      <c r="H19" s="12">
        <f t="shared" si="2"/>
        <v>-62</v>
      </c>
      <c r="I19" s="2"/>
      <c r="J19" s="9">
        <v>298</v>
      </c>
      <c r="K19" s="2"/>
      <c r="M19" t="s">
        <v>456</v>
      </c>
      <c r="N19" t="s">
        <v>462</v>
      </c>
    </row>
    <row r="20" spans="1:14" x14ac:dyDescent="0.25">
      <c r="A20" t="s">
        <v>27</v>
      </c>
      <c r="B20" t="s">
        <v>9</v>
      </c>
      <c r="C20" t="s">
        <v>10</v>
      </c>
      <c r="D20" s="12">
        <f>ROUNDUP((4849.82),0)</f>
        <v>4850</v>
      </c>
      <c r="E20" s="2"/>
      <c r="F20" s="13">
        <f t="shared" si="1"/>
        <v>0.37315968289920726</v>
      </c>
      <c r="G20" s="2"/>
      <c r="H20" s="12">
        <f t="shared" si="2"/>
        <v>1318</v>
      </c>
      <c r="I20" s="2"/>
      <c r="J20" s="9">
        <v>3532</v>
      </c>
      <c r="K20" s="2"/>
      <c r="M20" t="s">
        <v>456</v>
      </c>
      <c r="N20" t="s">
        <v>462</v>
      </c>
    </row>
    <row r="21" spans="1:14" x14ac:dyDescent="0.25">
      <c r="A21" t="s">
        <v>27</v>
      </c>
      <c r="B21" t="s">
        <v>36</v>
      </c>
      <c r="C21" t="s">
        <v>37</v>
      </c>
      <c r="D21" s="12">
        <f>(D18+D17+D16)*0.102</f>
        <v>34667.453999999998</v>
      </c>
      <c r="E21" s="2"/>
      <c r="F21" s="13">
        <f t="shared" si="1"/>
        <v>5.2314655172413731E-2</v>
      </c>
      <c r="G21" s="2"/>
      <c r="H21" s="12">
        <f t="shared" si="2"/>
        <v>1723.4539999999979</v>
      </c>
      <c r="I21" s="2"/>
      <c r="J21" s="9">
        <v>32944</v>
      </c>
      <c r="K21" s="2"/>
      <c r="M21" t="s">
        <v>456</v>
      </c>
      <c r="N21" t="s">
        <v>462</v>
      </c>
    </row>
    <row r="22" spans="1:14" x14ac:dyDescent="0.25">
      <c r="A22" t="s">
        <v>27</v>
      </c>
      <c r="B22" t="s">
        <v>38</v>
      </c>
      <c r="C22" t="s">
        <v>39</v>
      </c>
      <c r="D22" s="12">
        <f>ROUNDUP((30774.57),0)</f>
        <v>30775</v>
      </c>
      <c r="E22" s="2"/>
      <c r="F22" s="13">
        <f t="shared" si="1"/>
        <v>-0.51853879849812268</v>
      </c>
      <c r="G22" s="2"/>
      <c r="H22" s="12">
        <f t="shared" si="2"/>
        <v>-33145</v>
      </c>
      <c r="I22" s="2"/>
      <c r="J22" s="9">
        <v>63920</v>
      </c>
      <c r="K22" s="2"/>
      <c r="M22" t="s">
        <v>456</v>
      </c>
      <c r="N22" t="s">
        <v>462</v>
      </c>
    </row>
    <row r="23" spans="1:14" x14ac:dyDescent="0.25">
      <c r="A23" t="s">
        <v>27</v>
      </c>
      <c r="B23" t="s">
        <v>11</v>
      </c>
      <c r="C23" t="s">
        <v>12</v>
      </c>
      <c r="D23" s="12">
        <f>(D18+D17+D16)*0.102</f>
        <v>34667.453999999998</v>
      </c>
      <c r="E23" s="2"/>
      <c r="F23" s="13">
        <f t="shared" si="1"/>
        <v>0.40308620689655161</v>
      </c>
      <c r="G23" s="2"/>
      <c r="H23" s="12">
        <f t="shared" si="2"/>
        <v>9959.4539999999979</v>
      </c>
      <c r="I23" s="2"/>
      <c r="J23" s="9">
        <v>24708</v>
      </c>
      <c r="K23" s="2"/>
      <c r="M23" t="s">
        <v>456</v>
      </c>
      <c r="N23" t="s">
        <v>462</v>
      </c>
    </row>
    <row r="24" spans="1:14" x14ac:dyDescent="0.25">
      <c r="A24" t="s">
        <v>27</v>
      </c>
      <c r="B24" t="s">
        <v>13</v>
      </c>
      <c r="C24" t="s">
        <v>14</v>
      </c>
      <c r="D24" s="12">
        <v>2000</v>
      </c>
      <c r="E24" s="2"/>
      <c r="F24" s="13">
        <f t="shared" si="1"/>
        <v>0</v>
      </c>
      <c r="G24" s="2"/>
      <c r="H24" s="12">
        <f t="shared" si="2"/>
        <v>0</v>
      </c>
      <c r="I24" s="2"/>
      <c r="J24" s="9">
        <v>2000</v>
      </c>
      <c r="K24" s="2"/>
      <c r="M24" t="s">
        <v>456</v>
      </c>
      <c r="N24" t="s">
        <v>463</v>
      </c>
    </row>
    <row r="25" spans="1:14" x14ac:dyDescent="0.25">
      <c r="A25" t="s">
        <v>27</v>
      </c>
      <c r="B25" t="s">
        <v>19</v>
      </c>
      <c r="C25" t="s">
        <v>20</v>
      </c>
      <c r="D25" s="12">
        <v>75</v>
      </c>
      <c r="E25" s="2"/>
      <c r="F25" s="13">
        <f t="shared" si="1"/>
        <v>-0.75</v>
      </c>
      <c r="G25" s="2"/>
      <c r="H25" s="12">
        <f t="shared" si="2"/>
        <v>-225</v>
      </c>
      <c r="I25" s="2"/>
      <c r="J25" s="9">
        <v>300</v>
      </c>
      <c r="K25" s="2"/>
      <c r="M25" t="s">
        <v>456</v>
      </c>
      <c r="N25" t="s">
        <v>463</v>
      </c>
    </row>
    <row r="26" spans="1:14" x14ac:dyDescent="0.25">
      <c r="A26" t="s">
        <v>27</v>
      </c>
      <c r="B26" t="s">
        <v>21</v>
      </c>
      <c r="C26" t="s">
        <v>22</v>
      </c>
      <c r="D26" s="12">
        <v>1000</v>
      </c>
      <c r="E26" s="2"/>
      <c r="F26" s="13">
        <f t="shared" si="1"/>
        <v>0</v>
      </c>
      <c r="G26" s="2"/>
      <c r="H26" s="12">
        <f t="shared" si="2"/>
        <v>0</v>
      </c>
      <c r="I26" s="2"/>
      <c r="J26" s="9">
        <v>1000</v>
      </c>
      <c r="K26" s="2"/>
      <c r="M26" t="s">
        <v>456</v>
      </c>
      <c r="N26" t="s">
        <v>463</v>
      </c>
    </row>
    <row r="27" spans="1:14" x14ac:dyDescent="0.25">
      <c r="A27" t="s">
        <v>27</v>
      </c>
      <c r="B27" t="s">
        <v>40</v>
      </c>
      <c r="C27" t="s">
        <v>41</v>
      </c>
      <c r="D27" s="12">
        <v>1260</v>
      </c>
      <c r="E27" s="2"/>
      <c r="F27" s="13">
        <f t="shared" si="1"/>
        <v>0</v>
      </c>
      <c r="G27" s="2"/>
      <c r="H27" s="12">
        <f t="shared" si="2"/>
        <v>0</v>
      </c>
      <c r="I27" s="2"/>
      <c r="J27" s="9">
        <v>1260</v>
      </c>
      <c r="K27" s="2"/>
      <c r="M27" t="s">
        <v>456</v>
      </c>
      <c r="N27" t="s">
        <v>463</v>
      </c>
    </row>
    <row r="28" spans="1:14" x14ac:dyDescent="0.25">
      <c r="A28" t="s">
        <v>27</v>
      </c>
      <c r="B28" t="s">
        <v>23</v>
      </c>
      <c r="C28" t="s">
        <v>24</v>
      </c>
      <c r="D28" s="12">
        <v>7000</v>
      </c>
      <c r="E28" s="2"/>
      <c r="F28" s="13">
        <f t="shared" si="1"/>
        <v>0.75</v>
      </c>
      <c r="G28" s="2"/>
      <c r="H28" s="12">
        <f t="shared" si="2"/>
        <v>3000</v>
      </c>
      <c r="I28" s="2"/>
      <c r="J28" s="9">
        <v>4000</v>
      </c>
      <c r="K28" s="2"/>
      <c r="M28" t="s">
        <v>456</v>
      </c>
      <c r="N28" t="s">
        <v>462</v>
      </c>
    </row>
    <row r="29" spans="1:14" x14ac:dyDescent="0.25">
      <c r="A29" t="s">
        <v>27</v>
      </c>
      <c r="B29" t="s">
        <v>42</v>
      </c>
      <c r="C29" t="s">
        <v>43</v>
      </c>
      <c r="D29" s="12">
        <v>2000</v>
      </c>
      <c r="E29" s="2"/>
      <c r="F29" s="13">
        <f t="shared" si="1"/>
        <v>19</v>
      </c>
      <c r="G29" s="2"/>
      <c r="H29" s="12">
        <f t="shared" si="2"/>
        <v>1900</v>
      </c>
      <c r="I29" s="2"/>
      <c r="J29" s="9">
        <v>100</v>
      </c>
      <c r="K29" s="2"/>
      <c r="M29" t="s">
        <v>456</v>
      </c>
      <c r="N29" t="s">
        <v>462</v>
      </c>
    </row>
    <row r="30" spans="1:14" x14ac:dyDescent="0.25">
      <c r="A30" t="s">
        <v>27</v>
      </c>
      <c r="B30" t="s">
        <v>44</v>
      </c>
      <c r="C30" t="s">
        <v>45</v>
      </c>
      <c r="D30" s="12">
        <v>6020</v>
      </c>
      <c r="E30" s="2"/>
      <c r="F30" s="13">
        <f t="shared" si="1"/>
        <v>1.0758620689655172</v>
      </c>
      <c r="G30" s="2"/>
      <c r="H30" s="12">
        <f t="shared" si="2"/>
        <v>3120</v>
      </c>
      <c r="I30" s="2"/>
      <c r="J30" s="9">
        <v>2900</v>
      </c>
      <c r="K30" s="2"/>
      <c r="M30" t="s">
        <v>456</v>
      </c>
      <c r="N30" t="s">
        <v>462</v>
      </c>
    </row>
    <row r="31" spans="1:14" x14ac:dyDescent="0.25">
      <c r="A31" s="20" t="s">
        <v>27</v>
      </c>
      <c r="B31" s="20" t="s">
        <v>51</v>
      </c>
      <c r="C31" t="s">
        <v>421</v>
      </c>
      <c r="D31" s="12">
        <v>5000</v>
      </c>
      <c r="E31" s="2"/>
      <c r="F31" s="13">
        <v>1</v>
      </c>
      <c r="G31" s="2"/>
      <c r="H31" s="12">
        <f t="shared" si="2"/>
        <v>5000</v>
      </c>
      <c r="I31" s="2"/>
      <c r="J31" s="9">
        <v>0</v>
      </c>
      <c r="K31" s="2"/>
      <c r="L31" t="s">
        <v>422</v>
      </c>
      <c r="M31" t="s">
        <v>456</v>
      </c>
      <c r="N31" t="s">
        <v>464</v>
      </c>
    </row>
    <row r="32" spans="1:14" x14ac:dyDescent="0.25">
      <c r="A32" t="s">
        <v>27</v>
      </c>
      <c r="B32" t="s">
        <v>46</v>
      </c>
      <c r="C32" t="s">
        <v>47</v>
      </c>
      <c r="D32" s="12">
        <v>12934</v>
      </c>
      <c r="E32" s="2"/>
      <c r="F32" s="13">
        <f>H32/J32</f>
        <v>0.30199315482182404</v>
      </c>
      <c r="G32" s="2"/>
      <c r="H32" s="12">
        <f t="shared" si="2"/>
        <v>3000</v>
      </c>
      <c r="I32" s="2"/>
      <c r="J32" s="9">
        <v>9934</v>
      </c>
      <c r="K32" s="2"/>
      <c r="M32" t="s">
        <v>456</v>
      </c>
      <c r="N32" t="s">
        <v>464</v>
      </c>
    </row>
    <row r="33" spans="1:14" x14ac:dyDescent="0.25">
      <c r="D33" s="10"/>
      <c r="E33" s="2"/>
      <c r="F33" s="10"/>
      <c r="G33" s="2"/>
      <c r="H33" s="10"/>
      <c r="I33" s="2"/>
      <c r="J33" s="11"/>
      <c r="K33" s="2"/>
    </row>
    <row r="34" spans="1:14" x14ac:dyDescent="0.25">
      <c r="A34" t="s">
        <v>5</v>
      </c>
      <c r="B34" t="s">
        <v>5</v>
      </c>
      <c r="C34" s="1" t="s">
        <v>345</v>
      </c>
      <c r="D34" s="8">
        <f>SUM(D16:D32)</f>
        <v>482361.90800000005</v>
      </c>
      <c r="E34" s="2"/>
      <c r="F34" s="15">
        <f>H34/J34</f>
        <v>2.6561848638272236E-2</v>
      </c>
      <c r="G34" s="2"/>
      <c r="H34" s="8">
        <f>SUM(H16:H33)</f>
        <v>12480.907999999996</v>
      </c>
      <c r="I34" s="2"/>
      <c r="J34" s="8">
        <f>SUM(J16:J32)</f>
        <v>469881</v>
      </c>
      <c r="K34" s="2"/>
      <c r="M34" t="s">
        <v>456</v>
      </c>
    </row>
    <row r="35" spans="1:14" x14ac:dyDescent="0.25">
      <c r="D35" s="2"/>
      <c r="E35" s="2"/>
      <c r="F35" s="2"/>
      <c r="G35" s="2"/>
      <c r="H35" s="2"/>
      <c r="I35" s="2"/>
      <c r="K35" s="2"/>
    </row>
    <row r="36" spans="1:14" x14ac:dyDescent="0.25">
      <c r="A36" t="s">
        <v>48</v>
      </c>
      <c r="B36" t="s">
        <v>7</v>
      </c>
      <c r="C36" t="s">
        <v>49</v>
      </c>
      <c r="D36" s="12">
        <f>ROUNDUP((787.8),0)</f>
        <v>788</v>
      </c>
      <c r="E36" s="2"/>
      <c r="F36" s="13">
        <f t="shared" ref="F36:F42" si="3">H36/J36</f>
        <v>-1.2674271229404308E-3</v>
      </c>
      <c r="G36" s="2"/>
      <c r="H36" s="12">
        <f t="shared" ref="H36:H42" si="4">D36-J36</f>
        <v>-1</v>
      </c>
      <c r="I36" s="2"/>
      <c r="J36" s="12">
        <v>789</v>
      </c>
      <c r="K36" s="2"/>
      <c r="M36" t="s">
        <v>456</v>
      </c>
      <c r="N36" t="s">
        <v>462</v>
      </c>
    </row>
    <row r="37" spans="1:14" x14ac:dyDescent="0.25">
      <c r="A37" t="s">
        <v>48</v>
      </c>
      <c r="B37" t="s">
        <v>9</v>
      </c>
      <c r="C37" t="s">
        <v>10</v>
      </c>
      <c r="D37" s="12">
        <f>ROUNDUP((3.69),0)</f>
        <v>4</v>
      </c>
      <c r="E37" s="2"/>
      <c r="F37" s="13">
        <f t="shared" si="3"/>
        <v>3</v>
      </c>
      <c r="G37" s="2"/>
      <c r="H37" s="12">
        <f t="shared" si="4"/>
        <v>3</v>
      </c>
      <c r="I37" s="2"/>
      <c r="J37" s="12">
        <v>1</v>
      </c>
      <c r="K37" s="2"/>
      <c r="M37" t="s">
        <v>456</v>
      </c>
      <c r="N37" t="s">
        <v>462</v>
      </c>
    </row>
    <row r="38" spans="1:14" x14ac:dyDescent="0.25">
      <c r="A38" t="s">
        <v>48</v>
      </c>
      <c r="B38" t="s">
        <v>11</v>
      </c>
      <c r="C38" t="s">
        <v>12</v>
      </c>
      <c r="D38" s="12">
        <f>D36*0.0765</f>
        <v>60.281999999999996</v>
      </c>
      <c r="E38" s="2"/>
      <c r="F38" s="13">
        <f t="shared" si="3"/>
        <v>4.6999999999999412E-3</v>
      </c>
      <c r="G38" s="2"/>
      <c r="H38" s="12">
        <f t="shared" si="4"/>
        <v>0.28199999999999648</v>
      </c>
      <c r="I38" s="2"/>
      <c r="J38" s="12">
        <v>60</v>
      </c>
      <c r="K38" s="2"/>
      <c r="M38" t="s">
        <v>456</v>
      </c>
      <c r="N38" t="s">
        <v>462</v>
      </c>
    </row>
    <row r="39" spans="1:14" x14ac:dyDescent="0.25">
      <c r="A39" t="s">
        <v>48</v>
      </c>
      <c r="B39" t="s">
        <v>13</v>
      </c>
      <c r="C39" t="s">
        <v>14</v>
      </c>
      <c r="D39" s="12">
        <v>50</v>
      </c>
      <c r="E39" s="2"/>
      <c r="F39" s="13">
        <f t="shared" si="3"/>
        <v>0</v>
      </c>
      <c r="G39" s="2"/>
      <c r="H39" s="12">
        <f t="shared" si="4"/>
        <v>0</v>
      </c>
      <c r="I39" s="2"/>
      <c r="J39" s="12">
        <v>50</v>
      </c>
      <c r="K39" s="2"/>
      <c r="M39" t="s">
        <v>456</v>
      </c>
      <c r="N39" t="s">
        <v>463</v>
      </c>
    </row>
    <row r="40" spans="1:14" x14ac:dyDescent="0.25">
      <c r="A40" t="s">
        <v>48</v>
      </c>
      <c r="B40" t="s">
        <v>19</v>
      </c>
      <c r="C40" t="s">
        <v>20</v>
      </c>
      <c r="D40" s="12">
        <v>50</v>
      </c>
      <c r="E40" s="2"/>
      <c r="F40" s="13">
        <f t="shared" si="3"/>
        <v>0</v>
      </c>
      <c r="G40" s="2"/>
      <c r="H40" s="12">
        <f t="shared" si="4"/>
        <v>0</v>
      </c>
      <c r="I40" s="2"/>
      <c r="J40" s="12">
        <v>50</v>
      </c>
      <c r="K40" s="2"/>
      <c r="M40" t="s">
        <v>456</v>
      </c>
      <c r="N40" t="s">
        <v>463</v>
      </c>
    </row>
    <row r="41" spans="1:14" x14ac:dyDescent="0.25">
      <c r="A41" t="s">
        <v>48</v>
      </c>
      <c r="B41" t="s">
        <v>21</v>
      </c>
      <c r="C41" t="s">
        <v>22</v>
      </c>
      <c r="D41" s="12">
        <v>250</v>
      </c>
      <c r="E41" s="2"/>
      <c r="F41" s="13">
        <f t="shared" si="3"/>
        <v>0</v>
      </c>
      <c r="G41" s="2"/>
      <c r="H41" s="12">
        <f t="shared" si="4"/>
        <v>0</v>
      </c>
      <c r="I41" s="2"/>
      <c r="J41" s="12">
        <v>250</v>
      </c>
      <c r="K41" s="2"/>
      <c r="M41" t="s">
        <v>456</v>
      </c>
      <c r="N41" t="s">
        <v>463</v>
      </c>
    </row>
    <row r="42" spans="1:14" x14ac:dyDescent="0.25">
      <c r="A42" t="s">
        <v>48</v>
      </c>
      <c r="B42" t="s">
        <v>23</v>
      </c>
      <c r="C42" t="s">
        <v>24</v>
      </c>
      <c r="D42" s="12">
        <v>140</v>
      </c>
      <c r="E42" s="2"/>
      <c r="F42" s="13">
        <f t="shared" si="3"/>
        <v>0</v>
      </c>
      <c r="G42" s="2"/>
      <c r="H42" s="12">
        <f t="shared" si="4"/>
        <v>0</v>
      </c>
      <c r="I42" s="2"/>
      <c r="J42" s="12">
        <v>140</v>
      </c>
      <c r="K42" s="2"/>
      <c r="M42" t="s">
        <v>456</v>
      </c>
      <c r="N42" t="s">
        <v>462</v>
      </c>
    </row>
    <row r="43" spans="1:14" x14ac:dyDescent="0.25">
      <c r="D43" s="2"/>
      <c r="E43" s="2"/>
      <c r="F43" s="2"/>
      <c r="G43" s="2"/>
      <c r="H43" s="2"/>
      <c r="I43" s="2"/>
      <c r="K43" s="2"/>
    </row>
    <row r="44" spans="1:14" x14ac:dyDescent="0.25">
      <c r="A44" t="s">
        <v>5</v>
      </c>
      <c r="B44" t="s">
        <v>5</v>
      </c>
      <c r="C44" s="1" t="s">
        <v>346</v>
      </c>
      <c r="D44" s="8">
        <f>SUM(D36:D42)</f>
        <v>1342.2820000000002</v>
      </c>
      <c r="E44" s="2"/>
      <c r="F44" s="15">
        <f>H44/J44</f>
        <v>1.702985074626863E-3</v>
      </c>
      <c r="G44" s="2"/>
      <c r="H44" s="8">
        <f>SUM(H36:H42)</f>
        <v>2.2819999999999965</v>
      </c>
      <c r="I44" s="2"/>
      <c r="J44" s="8">
        <f>SUM(J36:J42)</f>
        <v>1340</v>
      </c>
      <c r="K44" s="2"/>
      <c r="M44" t="s">
        <v>456</v>
      </c>
    </row>
    <row r="45" spans="1:14" x14ac:dyDescent="0.25">
      <c r="D45" s="2"/>
      <c r="E45" s="2"/>
      <c r="F45" s="2"/>
      <c r="G45" s="2"/>
      <c r="H45" s="2"/>
      <c r="I45" s="2"/>
      <c r="K45" s="2"/>
    </row>
    <row r="46" spans="1:14" x14ac:dyDescent="0.25">
      <c r="A46" t="s">
        <v>50</v>
      </c>
      <c r="B46" t="s">
        <v>7</v>
      </c>
      <c r="C46" t="s">
        <v>49</v>
      </c>
      <c r="D46" s="12">
        <f>ROUNDUP((5249.52),0)</f>
        <v>5250</v>
      </c>
      <c r="E46" s="2"/>
      <c r="F46" s="13">
        <f t="shared" ref="F46:F53" si="5">H46/J46</f>
        <v>0</v>
      </c>
      <c r="G46" s="2"/>
      <c r="H46" s="12">
        <f t="shared" ref="H46:H53" si="6">D46-J46</f>
        <v>0</v>
      </c>
      <c r="I46" s="2"/>
      <c r="J46" s="12">
        <v>5250</v>
      </c>
      <c r="K46" s="2"/>
      <c r="M46" t="s">
        <v>456</v>
      </c>
      <c r="N46" t="s">
        <v>462</v>
      </c>
    </row>
    <row r="47" spans="1:14" x14ac:dyDescent="0.25">
      <c r="A47" t="s">
        <v>50</v>
      </c>
      <c r="B47" t="s">
        <v>9</v>
      </c>
      <c r="C47" t="s">
        <v>10</v>
      </c>
      <c r="D47" s="12">
        <f>ROUNDUP((24.56),0)</f>
        <v>25</v>
      </c>
      <c r="E47" s="2"/>
      <c r="F47" s="13">
        <f t="shared" si="5"/>
        <v>0.7857142857142857</v>
      </c>
      <c r="G47" s="2"/>
      <c r="H47" s="12">
        <f t="shared" si="6"/>
        <v>11</v>
      </c>
      <c r="I47" s="2"/>
      <c r="J47" s="12">
        <v>14</v>
      </c>
      <c r="K47" s="2"/>
      <c r="M47" t="s">
        <v>456</v>
      </c>
      <c r="N47" t="s">
        <v>462</v>
      </c>
    </row>
    <row r="48" spans="1:14" x14ac:dyDescent="0.25">
      <c r="A48" t="s">
        <v>50</v>
      </c>
      <c r="B48" t="s">
        <v>11</v>
      </c>
      <c r="C48" t="s">
        <v>12</v>
      </c>
      <c r="D48" s="12">
        <f>ROUNDUP((401.59),0)</f>
        <v>402</v>
      </c>
      <c r="E48" s="2"/>
      <c r="F48" s="13">
        <f t="shared" si="5"/>
        <v>0</v>
      </c>
      <c r="G48" s="2"/>
      <c r="H48" s="12">
        <f t="shared" si="6"/>
        <v>0</v>
      </c>
      <c r="I48" s="2"/>
      <c r="J48" s="12">
        <v>402</v>
      </c>
      <c r="K48" s="2"/>
      <c r="M48" t="s">
        <v>456</v>
      </c>
      <c r="N48" t="s">
        <v>462</v>
      </c>
    </row>
    <row r="49" spans="1:14" x14ac:dyDescent="0.25">
      <c r="A49" t="s">
        <v>50</v>
      </c>
      <c r="B49" t="s">
        <v>13</v>
      </c>
      <c r="C49" t="s">
        <v>14</v>
      </c>
      <c r="D49" s="12">
        <v>250</v>
      </c>
      <c r="E49" s="2"/>
      <c r="F49" s="13">
        <f t="shared" si="5"/>
        <v>0</v>
      </c>
      <c r="G49" s="2"/>
      <c r="H49" s="12">
        <f t="shared" si="6"/>
        <v>0</v>
      </c>
      <c r="I49" s="2"/>
      <c r="J49" s="12">
        <v>250</v>
      </c>
      <c r="K49" s="2"/>
      <c r="M49" t="s">
        <v>456</v>
      </c>
      <c r="N49" t="s">
        <v>463</v>
      </c>
    </row>
    <row r="50" spans="1:14" x14ac:dyDescent="0.25">
      <c r="A50" t="s">
        <v>50</v>
      </c>
      <c r="B50" t="s">
        <v>19</v>
      </c>
      <c r="C50" t="s">
        <v>20</v>
      </c>
      <c r="D50" s="12">
        <v>200</v>
      </c>
      <c r="E50" s="2"/>
      <c r="F50" s="13">
        <f t="shared" si="5"/>
        <v>0.33333333333333331</v>
      </c>
      <c r="G50" s="2"/>
      <c r="H50" s="12">
        <f t="shared" si="6"/>
        <v>50</v>
      </c>
      <c r="I50" s="2"/>
      <c r="J50" s="12">
        <v>150</v>
      </c>
      <c r="K50" s="2"/>
      <c r="M50" t="s">
        <v>456</v>
      </c>
      <c r="N50" t="s">
        <v>463</v>
      </c>
    </row>
    <row r="51" spans="1:14" x14ac:dyDescent="0.25">
      <c r="A51" t="s">
        <v>50</v>
      </c>
      <c r="B51" t="s">
        <v>21</v>
      </c>
      <c r="C51" t="s">
        <v>22</v>
      </c>
      <c r="D51" s="12">
        <v>1000</v>
      </c>
      <c r="E51" s="2"/>
      <c r="F51" s="13">
        <f t="shared" si="5"/>
        <v>0.33333333333333331</v>
      </c>
      <c r="G51" s="2"/>
      <c r="H51" s="12">
        <f t="shared" si="6"/>
        <v>250</v>
      </c>
      <c r="I51" s="2"/>
      <c r="J51" s="12">
        <v>750</v>
      </c>
      <c r="K51" s="2"/>
      <c r="M51" t="s">
        <v>456</v>
      </c>
      <c r="N51" t="s">
        <v>463</v>
      </c>
    </row>
    <row r="52" spans="1:14" x14ac:dyDescent="0.25">
      <c r="A52" t="s">
        <v>50</v>
      </c>
      <c r="B52" t="s">
        <v>23</v>
      </c>
      <c r="C52" t="s">
        <v>24</v>
      </c>
      <c r="D52" s="12">
        <v>400</v>
      </c>
      <c r="E52" s="2"/>
      <c r="F52" s="13">
        <f t="shared" si="5"/>
        <v>0</v>
      </c>
      <c r="G52" s="2"/>
      <c r="H52" s="12">
        <f t="shared" si="6"/>
        <v>0</v>
      </c>
      <c r="I52" s="2"/>
      <c r="J52" s="12">
        <v>400</v>
      </c>
      <c r="K52" s="2"/>
      <c r="M52" t="s">
        <v>456</v>
      </c>
      <c r="N52" t="s">
        <v>462</v>
      </c>
    </row>
    <row r="53" spans="1:14" x14ac:dyDescent="0.25">
      <c r="A53" t="s">
        <v>50</v>
      </c>
      <c r="B53" t="s">
        <v>51</v>
      </c>
      <c r="C53" t="s">
        <v>52</v>
      </c>
      <c r="D53" s="12">
        <v>25000</v>
      </c>
      <c r="E53" s="2"/>
      <c r="F53" s="13">
        <f t="shared" si="5"/>
        <v>0</v>
      </c>
      <c r="G53" s="2"/>
      <c r="H53" s="12">
        <f t="shared" si="6"/>
        <v>0</v>
      </c>
      <c r="I53" s="2"/>
      <c r="J53" s="12">
        <f>15000+10000</f>
        <v>25000</v>
      </c>
      <c r="K53" s="2"/>
      <c r="M53" t="s">
        <v>456</v>
      </c>
      <c r="N53" t="s">
        <v>464</v>
      </c>
    </row>
    <row r="54" spans="1:14" x14ac:dyDescent="0.25">
      <c r="D54" s="2"/>
      <c r="E54" s="2"/>
      <c r="F54" s="2"/>
      <c r="G54" s="2"/>
      <c r="H54" s="2"/>
      <c r="I54" s="2"/>
      <c r="K54" s="2"/>
    </row>
    <row r="55" spans="1:14" x14ac:dyDescent="0.25">
      <c r="A55" t="s">
        <v>5</v>
      </c>
      <c r="B55" t="s">
        <v>5</v>
      </c>
      <c r="C55" s="1" t="s">
        <v>347</v>
      </c>
      <c r="D55" s="8">
        <f>SUM(D46:D53)</f>
        <v>32527</v>
      </c>
      <c r="E55" s="2"/>
      <c r="F55" s="15">
        <f>H55/J55</f>
        <v>9.6535882791159676E-3</v>
      </c>
      <c r="G55" s="2"/>
      <c r="H55" s="8">
        <f>SUM(H46:H53)</f>
        <v>311</v>
      </c>
      <c r="I55" s="2"/>
      <c r="J55" s="8">
        <f>SUM(J46:J53)</f>
        <v>32216</v>
      </c>
      <c r="K55" s="2"/>
      <c r="M55" t="s">
        <v>456</v>
      </c>
    </row>
    <row r="56" spans="1:14" x14ac:dyDescent="0.25">
      <c r="D56" s="2"/>
      <c r="E56" s="2"/>
      <c r="F56" s="2"/>
      <c r="G56" s="2"/>
      <c r="H56" s="2"/>
      <c r="I56" s="2"/>
      <c r="K56" s="2"/>
    </row>
    <row r="57" spans="1:14" x14ac:dyDescent="0.25">
      <c r="A57" t="s">
        <v>53</v>
      </c>
      <c r="B57" t="s">
        <v>54</v>
      </c>
      <c r="C57" t="s">
        <v>55</v>
      </c>
      <c r="D57" s="12">
        <v>70000</v>
      </c>
      <c r="E57" s="2"/>
      <c r="F57" s="37">
        <f>H57/J57</f>
        <v>0</v>
      </c>
      <c r="G57" s="2"/>
      <c r="H57" s="12">
        <f>D57-J57</f>
        <v>0</v>
      </c>
      <c r="I57" s="2"/>
      <c r="J57" s="12">
        <v>70000</v>
      </c>
      <c r="K57" s="2"/>
      <c r="M57" t="s">
        <v>456</v>
      </c>
      <c r="N57" t="s">
        <v>464</v>
      </c>
    </row>
    <row r="58" spans="1:14" x14ac:dyDescent="0.25">
      <c r="D58" s="2"/>
      <c r="E58" s="2"/>
      <c r="F58" s="2"/>
      <c r="G58" s="2"/>
      <c r="H58" s="2"/>
      <c r="I58" s="2"/>
      <c r="K58" s="2"/>
    </row>
    <row r="59" spans="1:14" x14ac:dyDescent="0.25">
      <c r="A59" t="s">
        <v>5</v>
      </c>
      <c r="B59" t="s">
        <v>5</v>
      </c>
      <c r="C59" s="1" t="s">
        <v>348</v>
      </c>
      <c r="D59" s="8">
        <f>SUM(D57)</f>
        <v>70000</v>
      </c>
      <c r="E59" s="2"/>
      <c r="F59" s="15">
        <f>H59/J59</f>
        <v>0</v>
      </c>
      <c r="G59" s="2"/>
      <c r="H59" s="8">
        <f>H57</f>
        <v>0</v>
      </c>
      <c r="I59" s="2"/>
      <c r="J59" s="8">
        <f>J57</f>
        <v>70000</v>
      </c>
      <c r="K59" s="2"/>
      <c r="M59" t="s">
        <v>456</v>
      </c>
    </row>
    <row r="60" spans="1:14" x14ac:dyDescent="0.25">
      <c r="D60" s="2"/>
      <c r="E60" s="2"/>
      <c r="F60" s="2"/>
      <c r="G60" s="2"/>
      <c r="H60" s="2"/>
      <c r="I60" s="2"/>
      <c r="K60" s="2"/>
    </row>
    <row r="61" spans="1:14" x14ac:dyDescent="0.25">
      <c r="A61" t="s">
        <v>56</v>
      </c>
      <c r="B61" t="s">
        <v>57</v>
      </c>
      <c r="C61" t="s">
        <v>58</v>
      </c>
      <c r="D61" s="12">
        <f>ROUNDUP((64272),0)</f>
        <v>64272</v>
      </c>
      <c r="E61" s="2"/>
      <c r="F61" s="37">
        <f t="shared" ref="F61:F81" si="7">H61/J61</f>
        <v>0</v>
      </c>
      <c r="G61" s="2"/>
      <c r="H61" s="12">
        <f t="shared" ref="H61:H81" si="8">D61-J61</f>
        <v>0</v>
      </c>
      <c r="I61" s="2"/>
      <c r="J61" s="12">
        <v>64272</v>
      </c>
      <c r="K61" s="2"/>
      <c r="M61" t="s">
        <v>456</v>
      </c>
      <c r="N61" t="s">
        <v>462</v>
      </c>
    </row>
    <row r="62" spans="1:14" x14ac:dyDescent="0.25">
      <c r="A62" t="s">
        <v>56</v>
      </c>
      <c r="B62" t="s">
        <v>30</v>
      </c>
      <c r="C62" t="s">
        <v>31</v>
      </c>
      <c r="D62" s="12">
        <f>ROUNDUP((51902.45),0)</f>
        <v>51903</v>
      </c>
      <c r="E62" s="2"/>
      <c r="F62" s="37">
        <f t="shared" si="7"/>
        <v>0.33718923096740949</v>
      </c>
      <c r="G62" s="2"/>
      <c r="H62" s="12">
        <f t="shared" si="8"/>
        <v>13088</v>
      </c>
      <c r="I62" s="2"/>
      <c r="J62" s="12">
        <v>38815</v>
      </c>
      <c r="K62" s="2"/>
      <c r="L62" t="s">
        <v>357</v>
      </c>
      <c r="M62" t="s">
        <v>456</v>
      </c>
      <c r="N62" t="s">
        <v>462</v>
      </c>
    </row>
    <row r="63" spans="1:14" x14ac:dyDescent="0.25">
      <c r="A63" t="s">
        <v>56</v>
      </c>
      <c r="B63" t="s">
        <v>59</v>
      </c>
      <c r="C63" t="s">
        <v>60</v>
      </c>
      <c r="D63" s="12">
        <f>ROUNDUP((10000),0)</f>
        <v>10000</v>
      </c>
      <c r="E63" s="2"/>
      <c r="F63" s="37">
        <f t="shared" si="7"/>
        <v>0.25</v>
      </c>
      <c r="G63" s="2"/>
      <c r="H63" s="12">
        <f t="shared" si="8"/>
        <v>2000</v>
      </c>
      <c r="I63" s="2"/>
      <c r="J63" s="12">
        <v>8000</v>
      </c>
      <c r="K63" s="2"/>
      <c r="M63" t="s">
        <v>456</v>
      </c>
      <c r="N63" t="s">
        <v>462</v>
      </c>
    </row>
    <row r="64" spans="1:14" x14ac:dyDescent="0.25">
      <c r="A64" t="s">
        <v>56</v>
      </c>
      <c r="B64" t="s">
        <v>61</v>
      </c>
      <c r="C64" t="s">
        <v>62</v>
      </c>
      <c r="D64" s="12">
        <f>ROUNDUP((2600),0)</f>
        <v>2600</v>
      </c>
      <c r="E64" s="2"/>
      <c r="F64" s="37">
        <f t="shared" si="7"/>
        <v>0</v>
      </c>
      <c r="G64" s="2"/>
      <c r="H64" s="12">
        <f t="shared" si="8"/>
        <v>0</v>
      </c>
      <c r="I64" s="2"/>
      <c r="J64" s="12">
        <v>2600</v>
      </c>
      <c r="K64" s="2"/>
      <c r="M64" t="s">
        <v>456</v>
      </c>
      <c r="N64" t="s">
        <v>462</v>
      </c>
    </row>
    <row r="65" spans="1:14" x14ac:dyDescent="0.25">
      <c r="A65" t="s">
        <v>56</v>
      </c>
      <c r="B65" t="s">
        <v>34</v>
      </c>
      <c r="C65" t="s">
        <v>35</v>
      </c>
      <c r="D65" s="12">
        <f>ROUNDUP((238.14),0)</f>
        <v>239</v>
      </c>
      <c r="E65" s="2"/>
      <c r="F65" s="37">
        <f t="shared" si="7"/>
        <v>0.28494623655913981</v>
      </c>
      <c r="G65" s="2"/>
      <c r="H65" s="12">
        <f t="shared" si="8"/>
        <v>53</v>
      </c>
      <c r="I65" s="2"/>
      <c r="J65" s="12">
        <v>186</v>
      </c>
      <c r="K65" s="2"/>
      <c r="M65" t="s">
        <v>456</v>
      </c>
      <c r="N65" t="s">
        <v>462</v>
      </c>
    </row>
    <row r="66" spans="1:14" x14ac:dyDescent="0.25">
      <c r="A66" t="s">
        <v>56</v>
      </c>
      <c r="B66" t="s">
        <v>9</v>
      </c>
      <c r="C66" t="s">
        <v>10</v>
      </c>
      <c r="D66" s="12">
        <f>ROUNDUP((602.45),0)</f>
        <v>603</v>
      </c>
      <c r="E66" s="2"/>
      <c r="F66" s="37">
        <f t="shared" si="7"/>
        <v>0.83841463414634143</v>
      </c>
      <c r="G66" s="2"/>
      <c r="H66" s="12">
        <f t="shared" si="8"/>
        <v>275</v>
      </c>
      <c r="I66" s="2"/>
      <c r="J66" s="12">
        <v>328</v>
      </c>
      <c r="K66" s="2"/>
      <c r="M66" t="s">
        <v>456</v>
      </c>
      <c r="N66" t="s">
        <v>462</v>
      </c>
    </row>
    <row r="67" spans="1:14" x14ac:dyDescent="0.25">
      <c r="A67" t="s">
        <v>56</v>
      </c>
      <c r="B67" t="s">
        <v>36</v>
      </c>
      <c r="C67" t="s">
        <v>37</v>
      </c>
      <c r="D67" s="12">
        <f>ROUNDUP((10329.67),0)</f>
        <v>10330</v>
      </c>
      <c r="E67" s="2"/>
      <c r="F67" s="37">
        <f t="shared" si="7"/>
        <v>1.0763209393346379E-2</v>
      </c>
      <c r="G67" s="2"/>
      <c r="H67" s="12">
        <f t="shared" si="8"/>
        <v>110</v>
      </c>
      <c r="I67" s="2"/>
      <c r="J67" s="12">
        <v>10220</v>
      </c>
      <c r="K67" s="2"/>
      <c r="M67" t="s">
        <v>456</v>
      </c>
      <c r="N67" t="s">
        <v>462</v>
      </c>
    </row>
    <row r="68" spans="1:14" x14ac:dyDescent="0.25">
      <c r="A68" t="s">
        <v>56</v>
      </c>
      <c r="B68" t="s">
        <v>38</v>
      </c>
      <c r="C68" t="s">
        <v>39</v>
      </c>
      <c r="D68" s="12">
        <f>ROUNDUP((14985.12),0)</f>
        <v>14986</v>
      </c>
      <c r="E68" s="2"/>
      <c r="F68" s="37">
        <f t="shared" si="7"/>
        <v>-0.57863067622662734</v>
      </c>
      <c r="G68" s="2"/>
      <c r="H68" s="12">
        <f t="shared" si="8"/>
        <v>-20579</v>
      </c>
      <c r="I68" s="2"/>
      <c r="J68" s="12">
        <v>35565</v>
      </c>
      <c r="K68" s="2"/>
      <c r="M68" t="s">
        <v>456</v>
      </c>
      <c r="N68" t="s">
        <v>462</v>
      </c>
    </row>
    <row r="69" spans="1:14" x14ac:dyDescent="0.25">
      <c r="A69" t="s">
        <v>56</v>
      </c>
      <c r="B69" t="s">
        <v>11</v>
      </c>
      <c r="C69" t="s">
        <v>12</v>
      </c>
      <c r="D69" s="12">
        <f>ROUNDUP((9851.25),0)</f>
        <v>9852</v>
      </c>
      <c r="E69" s="2"/>
      <c r="F69" s="37">
        <f t="shared" si="7"/>
        <v>0.13280441531562609</v>
      </c>
      <c r="G69" s="2"/>
      <c r="H69" s="12">
        <f t="shared" si="8"/>
        <v>1155</v>
      </c>
      <c r="I69" s="2"/>
      <c r="J69" s="12">
        <v>8697</v>
      </c>
      <c r="K69" s="2"/>
      <c r="M69" t="s">
        <v>456</v>
      </c>
      <c r="N69" t="s">
        <v>462</v>
      </c>
    </row>
    <row r="70" spans="1:14" x14ac:dyDescent="0.25">
      <c r="A70" t="s">
        <v>56</v>
      </c>
      <c r="B70" t="s">
        <v>13</v>
      </c>
      <c r="C70" t="s">
        <v>14</v>
      </c>
      <c r="D70" s="12">
        <v>5300</v>
      </c>
      <c r="E70" s="2"/>
      <c r="F70" s="37">
        <f t="shared" si="7"/>
        <v>1.65</v>
      </c>
      <c r="G70" s="2"/>
      <c r="H70" s="12">
        <f t="shared" si="8"/>
        <v>3300</v>
      </c>
      <c r="I70" s="2"/>
      <c r="J70" s="12">
        <v>2000</v>
      </c>
      <c r="K70" s="2"/>
      <c r="M70" t="s">
        <v>456</v>
      </c>
      <c r="N70" t="s">
        <v>463</v>
      </c>
    </row>
    <row r="71" spans="1:14" x14ac:dyDescent="0.25">
      <c r="A71" t="s">
        <v>56</v>
      </c>
      <c r="B71" t="s">
        <v>19</v>
      </c>
      <c r="C71" t="s">
        <v>20</v>
      </c>
      <c r="D71" s="12">
        <v>4200</v>
      </c>
      <c r="E71" s="2"/>
      <c r="F71" s="37">
        <f t="shared" si="7"/>
        <v>1.625</v>
      </c>
      <c r="G71" s="2"/>
      <c r="H71" s="12">
        <f t="shared" si="8"/>
        <v>2600</v>
      </c>
      <c r="I71" s="2"/>
      <c r="J71" s="12">
        <v>1600</v>
      </c>
      <c r="K71" s="2"/>
      <c r="M71" t="s">
        <v>456</v>
      </c>
      <c r="N71" t="s">
        <v>463</v>
      </c>
    </row>
    <row r="72" spans="1:14" x14ac:dyDescent="0.25">
      <c r="A72" t="s">
        <v>56</v>
      </c>
      <c r="B72" t="s">
        <v>21</v>
      </c>
      <c r="C72" t="s">
        <v>22</v>
      </c>
      <c r="D72" s="12">
        <v>1800</v>
      </c>
      <c r="E72" s="2"/>
      <c r="F72" s="37">
        <f t="shared" si="7"/>
        <v>1.25</v>
      </c>
      <c r="G72" s="2"/>
      <c r="H72" s="12">
        <f t="shared" si="8"/>
        <v>1000</v>
      </c>
      <c r="I72" s="2"/>
      <c r="J72" s="12">
        <v>800</v>
      </c>
      <c r="K72" s="2"/>
      <c r="M72" t="s">
        <v>456</v>
      </c>
      <c r="N72" t="s">
        <v>463</v>
      </c>
    </row>
    <row r="73" spans="1:14" x14ac:dyDescent="0.25">
      <c r="A73" t="s">
        <v>56</v>
      </c>
      <c r="B73" t="s">
        <v>63</v>
      </c>
      <c r="C73" t="s">
        <v>64</v>
      </c>
      <c r="D73" s="12">
        <v>5200</v>
      </c>
      <c r="E73" s="2"/>
      <c r="F73" s="37">
        <f t="shared" si="7"/>
        <v>0.92592592592592593</v>
      </c>
      <c r="G73" s="2"/>
      <c r="H73" s="12">
        <f t="shared" si="8"/>
        <v>2500</v>
      </c>
      <c r="I73" s="2"/>
      <c r="J73" s="12">
        <v>2700</v>
      </c>
      <c r="K73" s="2"/>
      <c r="M73" t="s">
        <v>456</v>
      </c>
      <c r="N73" t="s">
        <v>463</v>
      </c>
    </row>
    <row r="74" spans="1:14" x14ac:dyDescent="0.25">
      <c r="A74" t="s">
        <v>56</v>
      </c>
      <c r="B74" t="s">
        <v>40</v>
      </c>
      <c r="C74" t="s">
        <v>41</v>
      </c>
      <c r="D74" s="12">
        <v>420</v>
      </c>
      <c r="E74" s="2"/>
      <c r="F74" s="37">
        <f t="shared" si="7"/>
        <v>0</v>
      </c>
      <c r="G74" s="2"/>
      <c r="H74" s="12">
        <f t="shared" si="8"/>
        <v>0</v>
      </c>
      <c r="I74" s="2"/>
      <c r="J74" s="12">
        <v>420</v>
      </c>
      <c r="K74" s="2"/>
      <c r="M74" t="s">
        <v>456</v>
      </c>
      <c r="N74" t="s">
        <v>462</v>
      </c>
    </row>
    <row r="75" spans="1:14" x14ac:dyDescent="0.25">
      <c r="A75" t="s">
        <v>56</v>
      </c>
      <c r="B75" t="s">
        <v>23</v>
      </c>
      <c r="C75" t="s">
        <v>24</v>
      </c>
      <c r="D75" s="12">
        <v>2000</v>
      </c>
      <c r="E75" s="2"/>
      <c r="F75" s="37">
        <f t="shared" si="7"/>
        <v>0.1111111111111111</v>
      </c>
      <c r="G75" s="2"/>
      <c r="H75" s="12">
        <f t="shared" si="8"/>
        <v>200</v>
      </c>
      <c r="I75" s="2"/>
      <c r="J75" s="12">
        <v>1800</v>
      </c>
      <c r="K75" s="2"/>
      <c r="M75" t="s">
        <v>456</v>
      </c>
      <c r="N75" t="s">
        <v>462</v>
      </c>
    </row>
    <row r="76" spans="1:14" x14ac:dyDescent="0.25">
      <c r="A76" t="s">
        <v>56</v>
      </c>
      <c r="B76" t="s">
        <v>42</v>
      </c>
      <c r="C76" t="s">
        <v>43</v>
      </c>
      <c r="D76" s="12">
        <v>400</v>
      </c>
      <c r="E76" s="2"/>
      <c r="F76" s="37">
        <f t="shared" si="7"/>
        <v>0</v>
      </c>
      <c r="G76" s="2"/>
      <c r="H76" s="12">
        <f t="shared" si="8"/>
        <v>0</v>
      </c>
      <c r="I76" s="2"/>
      <c r="J76" s="12">
        <v>400</v>
      </c>
      <c r="K76" s="2"/>
      <c r="M76" t="s">
        <v>456</v>
      </c>
      <c r="N76" t="s">
        <v>462</v>
      </c>
    </row>
    <row r="77" spans="1:14" x14ac:dyDescent="0.25">
      <c r="A77" t="s">
        <v>56</v>
      </c>
      <c r="B77" t="s">
        <v>65</v>
      </c>
      <c r="C77" t="s">
        <v>66</v>
      </c>
      <c r="D77" s="12">
        <v>1010</v>
      </c>
      <c r="E77" s="2"/>
      <c r="F77" s="37">
        <f t="shared" si="7"/>
        <v>0</v>
      </c>
      <c r="G77" s="2"/>
      <c r="H77" s="12">
        <f t="shared" si="8"/>
        <v>0</v>
      </c>
      <c r="I77" s="2"/>
      <c r="J77" s="12">
        <v>1010</v>
      </c>
      <c r="K77" s="2"/>
      <c r="M77" t="s">
        <v>456</v>
      </c>
      <c r="N77" t="s">
        <v>462</v>
      </c>
    </row>
    <row r="78" spans="1:14" x14ac:dyDescent="0.25">
      <c r="A78" t="s">
        <v>56</v>
      </c>
      <c r="B78" t="s">
        <v>44</v>
      </c>
      <c r="C78" t="s">
        <v>45</v>
      </c>
      <c r="D78" s="12">
        <v>450</v>
      </c>
      <c r="E78" s="2"/>
      <c r="F78" s="37">
        <f t="shared" si="7"/>
        <v>0</v>
      </c>
      <c r="G78" s="2"/>
      <c r="H78" s="12">
        <f t="shared" si="8"/>
        <v>0</v>
      </c>
      <c r="I78" s="2"/>
      <c r="J78" s="12">
        <v>450</v>
      </c>
      <c r="K78" s="2"/>
      <c r="M78" t="s">
        <v>456</v>
      </c>
      <c r="N78" t="s">
        <v>462</v>
      </c>
    </row>
    <row r="79" spans="1:14" x14ac:dyDescent="0.25">
      <c r="A79" t="s">
        <v>56</v>
      </c>
      <c r="B79" t="s">
        <v>51</v>
      </c>
      <c r="C79" t="s">
        <v>52</v>
      </c>
      <c r="D79" s="12">
        <v>2260</v>
      </c>
      <c r="E79" s="2"/>
      <c r="F79" s="37">
        <f t="shared" si="7"/>
        <v>0.79365079365079361</v>
      </c>
      <c r="G79" s="2"/>
      <c r="H79" s="12">
        <f t="shared" si="8"/>
        <v>1000</v>
      </c>
      <c r="I79" s="2"/>
      <c r="J79" s="12">
        <v>1260</v>
      </c>
      <c r="K79" s="2"/>
      <c r="M79" t="s">
        <v>456</v>
      </c>
      <c r="N79" t="s">
        <v>464</v>
      </c>
    </row>
    <row r="80" spans="1:14" x14ac:dyDescent="0.25">
      <c r="A80" t="s">
        <v>56</v>
      </c>
      <c r="B80" t="s">
        <v>67</v>
      </c>
      <c r="C80" t="s">
        <v>68</v>
      </c>
      <c r="D80" s="12">
        <v>10450</v>
      </c>
      <c r="E80" s="2"/>
      <c r="F80" s="37">
        <f t="shared" si="7"/>
        <v>0</v>
      </c>
      <c r="G80" s="2"/>
      <c r="H80" s="12">
        <f t="shared" si="8"/>
        <v>0</v>
      </c>
      <c r="I80" s="2"/>
      <c r="J80" s="12">
        <v>10450</v>
      </c>
      <c r="K80" s="2"/>
      <c r="M80" t="s">
        <v>456</v>
      </c>
      <c r="N80" t="s">
        <v>464</v>
      </c>
    </row>
    <row r="81" spans="1:14" x14ac:dyDescent="0.25">
      <c r="A81" t="s">
        <v>56</v>
      </c>
      <c r="B81" t="s">
        <v>69</v>
      </c>
      <c r="C81" t="s">
        <v>70</v>
      </c>
      <c r="D81" s="12">
        <v>2800</v>
      </c>
      <c r="E81" s="2"/>
      <c r="F81" s="37">
        <f t="shared" si="7"/>
        <v>0</v>
      </c>
      <c r="G81" s="2"/>
      <c r="H81" s="12">
        <f t="shared" si="8"/>
        <v>0</v>
      </c>
      <c r="I81" s="2"/>
      <c r="J81" s="12">
        <v>2800</v>
      </c>
      <c r="K81" s="2"/>
      <c r="M81" t="s">
        <v>456</v>
      </c>
      <c r="N81" t="s">
        <v>463</v>
      </c>
    </row>
    <row r="82" spans="1:14" x14ac:dyDescent="0.25">
      <c r="D82" s="2"/>
      <c r="E82" s="2"/>
      <c r="F82" s="2"/>
      <c r="G82" s="2"/>
      <c r="H82" s="2"/>
      <c r="I82" s="2"/>
      <c r="K82" s="2"/>
    </row>
    <row r="83" spans="1:14" x14ac:dyDescent="0.25">
      <c r="A83" t="s">
        <v>5</v>
      </c>
      <c r="B83" t="s">
        <v>5</v>
      </c>
      <c r="C83" s="1" t="s">
        <v>349</v>
      </c>
      <c r="D83" s="8">
        <f>SUM(D61:D81)</f>
        <v>201075</v>
      </c>
      <c r="E83" s="2"/>
      <c r="F83" s="15">
        <f>H83/J83</f>
        <v>3.4480097544412031E-2</v>
      </c>
      <c r="G83" s="2"/>
      <c r="H83" s="8">
        <f>SUM(H61:H81)</f>
        <v>6702</v>
      </c>
      <c r="I83" s="2"/>
      <c r="J83" s="8">
        <f>SUM(J61:J81)</f>
        <v>194373</v>
      </c>
      <c r="K83" s="2"/>
      <c r="M83" t="s">
        <v>456</v>
      </c>
    </row>
    <row r="84" spans="1:14" x14ac:dyDescent="0.25">
      <c r="D84" s="2"/>
      <c r="E84" s="2"/>
      <c r="F84" s="2"/>
      <c r="G84" s="2"/>
      <c r="H84" s="2"/>
      <c r="I84" s="2"/>
      <c r="K84" s="2"/>
    </row>
    <row r="85" spans="1:14" x14ac:dyDescent="0.25">
      <c r="A85" t="s">
        <v>73</v>
      </c>
      <c r="B85" t="s">
        <v>57</v>
      </c>
      <c r="C85" t="s">
        <v>58</v>
      </c>
      <c r="D85" s="12">
        <f>ROUNDUP((90280.74),0)</f>
        <v>90281</v>
      </c>
      <c r="E85" s="2"/>
      <c r="F85" s="37">
        <f t="shared" ref="F85:F99" si="9">H85/J85</f>
        <v>3.0064121579992241E-2</v>
      </c>
      <c r="G85" s="2"/>
      <c r="H85" s="12">
        <f t="shared" ref="H85:H99" si="10">D85-J85</f>
        <v>2635</v>
      </c>
      <c r="I85" s="2"/>
      <c r="J85" s="12">
        <v>87646</v>
      </c>
      <c r="K85" s="2"/>
      <c r="L85" t="s">
        <v>355</v>
      </c>
      <c r="M85" t="s">
        <v>456</v>
      </c>
      <c r="N85" t="s">
        <v>462</v>
      </c>
    </row>
    <row r="86" spans="1:14" x14ac:dyDescent="0.25">
      <c r="A86" t="s">
        <v>73</v>
      </c>
      <c r="B86" t="s">
        <v>30</v>
      </c>
      <c r="C86" t="s">
        <v>31</v>
      </c>
      <c r="D86" s="12">
        <f>ROUNDUP((94163.58),0)</f>
        <v>94164</v>
      </c>
      <c r="E86" s="2"/>
      <c r="F86" s="37">
        <f t="shared" si="9"/>
        <v>0.11583263221509912</v>
      </c>
      <c r="G86" s="2"/>
      <c r="H86" s="12">
        <f t="shared" si="10"/>
        <v>9775</v>
      </c>
      <c r="I86" s="2"/>
      <c r="J86" s="12">
        <v>84389</v>
      </c>
      <c r="K86" s="2"/>
      <c r="L86" t="s">
        <v>424</v>
      </c>
      <c r="M86" t="s">
        <v>456</v>
      </c>
      <c r="N86" t="s">
        <v>462</v>
      </c>
    </row>
    <row r="87" spans="1:14" x14ac:dyDescent="0.25">
      <c r="A87" t="s">
        <v>73</v>
      </c>
      <c r="B87" t="s">
        <v>61</v>
      </c>
      <c r="C87" t="s">
        <v>62</v>
      </c>
      <c r="D87" s="12">
        <v>1500</v>
      </c>
      <c r="E87" s="2"/>
      <c r="F87" s="37">
        <f t="shared" si="9"/>
        <v>2</v>
      </c>
      <c r="G87" s="2"/>
      <c r="H87" s="12">
        <f t="shared" si="10"/>
        <v>1000</v>
      </c>
      <c r="I87" s="2"/>
      <c r="J87" s="12">
        <v>500</v>
      </c>
      <c r="K87" s="2"/>
      <c r="M87" t="s">
        <v>456</v>
      </c>
      <c r="N87" t="s">
        <v>462</v>
      </c>
    </row>
    <row r="88" spans="1:14" x14ac:dyDescent="0.25">
      <c r="A88" t="s">
        <v>73</v>
      </c>
      <c r="B88" t="s">
        <v>34</v>
      </c>
      <c r="C88" t="s">
        <v>35</v>
      </c>
      <c r="D88" s="12">
        <f>ROUNDUP((176.4),0)</f>
        <v>177</v>
      </c>
      <c r="E88" s="2"/>
      <c r="F88" s="37">
        <f t="shared" si="9"/>
        <v>-0.20982142857142858</v>
      </c>
      <c r="G88" s="2"/>
      <c r="H88" s="12">
        <f t="shared" si="10"/>
        <v>-47</v>
      </c>
      <c r="I88" s="2"/>
      <c r="J88" s="12">
        <v>224</v>
      </c>
      <c r="K88" s="2"/>
      <c r="M88" t="s">
        <v>456</v>
      </c>
      <c r="N88" t="s">
        <v>462</v>
      </c>
    </row>
    <row r="89" spans="1:14" x14ac:dyDescent="0.25">
      <c r="A89" t="s">
        <v>73</v>
      </c>
      <c r="B89" t="s">
        <v>9</v>
      </c>
      <c r="C89" t="s">
        <v>10</v>
      </c>
      <c r="D89" s="12">
        <f>ROUNDUP((869.91),0)</f>
        <v>870</v>
      </c>
      <c r="E89" s="2"/>
      <c r="F89" s="37">
        <f t="shared" si="9"/>
        <v>1.0327102803738317</v>
      </c>
      <c r="G89" s="2"/>
      <c r="H89" s="12">
        <f t="shared" si="10"/>
        <v>442</v>
      </c>
      <c r="I89" s="2"/>
      <c r="J89" s="12">
        <v>428</v>
      </c>
      <c r="K89" s="2"/>
      <c r="M89" t="s">
        <v>456</v>
      </c>
      <c r="N89" t="s">
        <v>462</v>
      </c>
    </row>
    <row r="90" spans="1:14" x14ac:dyDescent="0.25">
      <c r="A90" t="s">
        <v>73</v>
      </c>
      <c r="B90" t="s">
        <v>36</v>
      </c>
      <c r="C90" t="s">
        <v>37</v>
      </c>
      <c r="D90" s="12">
        <f>(D87+D86+D85)*0.102</f>
        <v>18966.39</v>
      </c>
      <c r="E90" s="2"/>
      <c r="F90" s="37">
        <f t="shared" si="9"/>
        <v>8.0829154319580543E-2</v>
      </c>
      <c r="G90" s="2"/>
      <c r="H90" s="12">
        <f t="shared" si="10"/>
        <v>1418.3899999999994</v>
      </c>
      <c r="I90" s="2"/>
      <c r="J90" s="12">
        <v>17548</v>
      </c>
      <c r="K90" s="2"/>
      <c r="M90" t="s">
        <v>456</v>
      </c>
      <c r="N90" t="s">
        <v>462</v>
      </c>
    </row>
    <row r="91" spans="1:14" x14ac:dyDescent="0.25">
      <c r="A91" t="s">
        <v>73</v>
      </c>
      <c r="B91" t="s">
        <v>38</v>
      </c>
      <c r="C91" t="s">
        <v>39</v>
      </c>
      <c r="D91" s="12">
        <v>36471</v>
      </c>
      <c r="E91" s="2"/>
      <c r="F91" s="37">
        <f t="shared" si="9"/>
        <v>-0.21811555364990889</v>
      </c>
      <c r="G91" s="2"/>
      <c r="H91" s="12">
        <f t="shared" si="10"/>
        <v>-10174</v>
      </c>
      <c r="I91" s="2"/>
      <c r="J91" s="12">
        <v>46645</v>
      </c>
      <c r="K91" s="2"/>
      <c r="M91" t="s">
        <v>456</v>
      </c>
      <c r="N91" t="s">
        <v>462</v>
      </c>
    </row>
    <row r="92" spans="1:14" x14ac:dyDescent="0.25">
      <c r="A92" t="s">
        <v>73</v>
      </c>
      <c r="B92" t="s">
        <v>11</v>
      </c>
      <c r="C92" t="s">
        <v>12</v>
      </c>
      <c r="D92" s="12">
        <f>ROUNDUP((14224.74),0)</f>
        <v>14225</v>
      </c>
      <c r="E92" s="2"/>
      <c r="F92" s="37">
        <f t="shared" si="9"/>
        <v>7.773316160315176E-2</v>
      </c>
      <c r="G92" s="2"/>
      <c r="H92" s="12">
        <f t="shared" si="10"/>
        <v>1026</v>
      </c>
      <c r="I92" s="2"/>
      <c r="J92" s="12">
        <v>13199</v>
      </c>
      <c r="K92" s="2"/>
      <c r="M92" t="s">
        <v>456</v>
      </c>
      <c r="N92" t="s">
        <v>462</v>
      </c>
    </row>
    <row r="93" spans="1:14" x14ac:dyDescent="0.25">
      <c r="A93" t="s">
        <v>73</v>
      </c>
      <c r="B93" t="s">
        <v>13</v>
      </c>
      <c r="C93" t="s">
        <v>14</v>
      </c>
      <c r="D93" s="12">
        <v>3000</v>
      </c>
      <c r="E93" s="2"/>
      <c r="F93" s="37">
        <f t="shared" si="9"/>
        <v>0</v>
      </c>
      <c r="G93" s="2"/>
      <c r="H93" s="12">
        <f t="shared" si="10"/>
        <v>0</v>
      </c>
      <c r="I93" s="2"/>
      <c r="J93" s="12">
        <v>3000</v>
      </c>
      <c r="K93" s="2"/>
      <c r="M93" t="s">
        <v>456</v>
      </c>
      <c r="N93" t="s">
        <v>463</v>
      </c>
    </row>
    <row r="94" spans="1:14" x14ac:dyDescent="0.25">
      <c r="A94" t="s">
        <v>73</v>
      </c>
      <c r="B94" t="s">
        <v>19</v>
      </c>
      <c r="C94" t="s">
        <v>20</v>
      </c>
      <c r="D94" s="12">
        <v>1000</v>
      </c>
      <c r="E94" s="2"/>
      <c r="F94" s="37">
        <f t="shared" si="9"/>
        <v>0.25</v>
      </c>
      <c r="G94" s="2"/>
      <c r="H94" s="12">
        <f t="shared" si="10"/>
        <v>200</v>
      </c>
      <c r="I94" s="2"/>
      <c r="J94" s="12">
        <v>800</v>
      </c>
      <c r="K94" s="2"/>
      <c r="M94" t="s">
        <v>456</v>
      </c>
      <c r="N94" t="s">
        <v>463</v>
      </c>
    </row>
    <row r="95" spans="1:14" x14ac:dyDescent="0.25">
      <c r="A95" t="s">
        <v>73</v>
      </c>
      <c r="B95" t="s">
        <v>40</v>
      </c>
      <c r="C95" t="s">
        <v>41</v>
      </c>
      <c r="D95" s="12">
        <v>420</v>
      </c>
      <c r="E95" s="2"/>
      <c r="F95" s="37">
        <f t="shared" si="9"/>
        <v>0</v>
      </c>
      <c r="G95" s="2"/>
      <c r="H95" s="12">
        <f t="shared" si="10"/>
        <v>0</v>
      </c>
      <c r="I95" s="2"/>
      <c r="J95" s="12">
        <v>420</v>
      </c>
      <c r="K95" s="2"/>
      <c r="M95" t="s">
        <v>456</v>
      </c>
      <c r="N95" t="s">
        <v>462</v>
      </c>
    </row>
    <row r="96" spans="1:14" x14ac:dyDescent="0.25">
      <c r="A96" t="s">
        <v>73</v>
      </c>
      <c r="B96" t="s">
        <v>23</v>
      </c>
      <c r="C96" t="s">
        <v>24</v>
      </c>
      <c r="D96" s="12">
        <v>4400</v>
      </c>
      <c r="E96" s="2"/>
      <c r="F96" s="37">
        <f t="shared" si="9"/>
        <v>0</v>
      </c>
      <c r="G96" s="2"/>
      <c r="H96" s="12">
        <f t="shared" si="10"/>
        <v>0</v>
      </c>
      <c r="I96" s="2"/>
      <c r="J96" s="12">
        <v>4400</v>
      </c>
      <c r="K96" s="2"/>
      <c r="M96" t="s">
        <v>456</v>
      </c>
      <c r="N96" t="s">
        <v>462</v>
      </c>
    </row>
    <row r="97" spans="1:14" x14ac:dyDescent="0.25">
      <c r="A97" t="s">
        <v>73</v>
      </c>
      <c r="B97" t="s">
        <v>42</v>
      </c>
      <c r="C97" t="s">
        <v>43</v>
      </c>
      <c r="D97" s="12">
        <v>500</v>
      </c>
      <c r="E97" s="2"/>
      <c r="F97" s="37">
        <f t="shared" si="9"/>
        <v>0</v>
      </c>
      <c r="G97" s="2"/>
      <c r="H97" s="12">
        <f t="shared" si="10"/>
        <v>0</v>
      </c>
      <c r="I97" s="2"/>
      <c r="J97" s="12">
        <v>500</v>
      </c>
      <c r="K97" s="2"/>
      <c r="M97" t="s">
        <v>456</v>
      </c>
      <c r="N97" t="s">
        <v>462</v>
      </c>
    </row>
    <row r="98" spans="1:14" x14ac:dyDescent="0.25">
      <c r="A98" t="s">
        <v>73</v>
      </c>
      <c r="B98" t="s">
        <v>44</v>
      </c>
      <c r="C98" t="s">
        <v>45</v>
      </c>
      <c r="D98" s="12">
        <v>1000</v>
      </c>
      <c r="E98" s="2"/>
      <c r="F98" s="37">
        <f t="shared" si="9"/>
        <v>1</v>
      </c>
      <c r="G98" s="2"/>
      <c r="H98" s="12">
        <f t="shared" si="10"/>
        <v>500</v>
      </c>
      <c r="I98" s="2"/>
      <c r="J98" s="12">
        <v>500</v>
      </c>
      <c r="K98" s="2"/>
      <c r="M98" t="s">
        <v>456</v>
      </c>
      <c r="N98" t="s">
        <v>462</v>
      </c>
    </row>
    <row r="99" spans="1:14" x14ac:dyDescent="0.25">
      <c r="A99" t="s">
        <v>73</v>
      </c>
      <c r="B99" t="s">
        <v>51</v>
      </c>
      <c r="C99" t="s">
        <v>52</v>
      </c>
      <c r="D99" s="12">
        <v>1636</v>
      </c>
      <c r="E99" s="2"/>
      <c r="F99" s="37">
        <f t="shared" si="9"/>
        <v>0</v>
      </c>
      <c r="G99" s="2"/>
      <c r="H99" s="12">
        <f t="shared" si="10"/>
        <v>0</v>
      </c>
      <c r="I99" s="2"/>
      <c r="J99" s="12">
        <v>1636</v>
      </c>
      <c r="K99" s="2"/>
      <c r="M99" t="s">
        <v>456</v>
      </c>
      <c r="N99" t="s">
        <v>464</v>
      </c>
    </row>
    <row r="100" spans="1:14" x14ac:dyDescent="0.25">
      <c r="D100" s="2"/>
      <c r="E100" s="2"/>
      <c r="F100" s="2"/>
      <c r="G100" s="2"/>
      <c r="H100" s="2"/>
      <c r="I100" s="2"/>
      <c r="K100" s="2"/>
    </row>
    <row r="101" spans="1:14" x14ac:dyDescent="0.25">
      <c r="A101" t="s">
        <v>5</v>
      </c>
      <c r="B101" t="s">
        <v>5</v>
      </c>
      <c r="C101" s="1" t="s">
        <v>350</v>
      </c>
      <c r="D101" s="8">
        <f>SUM(D85:D99)</f>
        <v>268610.39</v>
      </c>
      <c r="E101" s="2"/>
      <c r="F101" s="15">
        <f>H101/J101</f>
        <v>2.587656348463727E-2</v>
      </c>
      <c r="G101" s="2"/>
      <c r="H101" s="8">
        <f>SUM(H85:H99)</f>
        <v>6775.3899999999994</v>
      </c>
      <c r="I101" s="2"/>
      <c r="J101" s="8">
        <f>SUM(J85:J99)</f>
        <v>261835</v>
      </c>
      <c r="K101" s="2"/>
      <c r="M101" t="s">
        <v>456</v>
      </c>
    </row>
    <row r="102" spans="1:14" x14ac:dyDescent="0.25">
      <c r="D102" s="2"/>
      <c r="E102" s="2"/>
      <c r="F102" s="2"/>
      <c r="G102" s="2"/>
      <c r="H102" s="2"/>
      <c r="I102" s="2"/>
      <c r="K102" s="2"/>
    </row>
    <row r="103" spans="1:14" x14ac:dyDescent="0.25">
      <c r="A103" t="s">
        <v>74</v>
      </c>
      <c r="B103" s="20" t="s">
        <v>57</v>
      </c>
      <c r="C103" t="s">
        <v>58</v>
      </c>
      <c r="D103" s="47">
        <v>54663</v>
      </c>
      <c r="E103" s="2"/>
      <c r="F103" s="37">
        <v>1</v>
      </c>
      <c r="G103" s="2"/>
      <c r="H103" s="12">
        <f t="shared" ref="H103:H115" si="11">D103-J103</f>
        <v>54663</v>
      </c>
      <c r="I103" s="2"/>
      <c r="J103" s="12">
        <v>0</v>
      </c>
      <c r="K103" s="2"/>
      <c r="L103" t="s">
        <v>354</v>
      </c>
      <c r="M103" t="s">
        <v>456</v>
      </c>
      <c r="N103" t="s">
        <v>462</v>
      </c>
    </row>
    <row r="104" spans="1:14" x14ac:dyDescent="0.25">
      <c r="A104" t="s">
        <v>74</v>
      </c>
      <c r="B104" t="s">
        <v>30</v>
      </c>
      <c r="C104" t="s">
        <v>31</v>
      </c>
      <c r="D104" s="12">
        <v>122010</v>
      </c>
      <c r="E104" s="2"/>
      <c r="F104" s="37">
        <f t="shared" ref="F104:F113" si="12">H104/J104</f>
        <v>3.9046199701937408E-2</v>
      </c>
      <c r="G104" s="2"/>
      <c r="H104" s="12">
        <f t="shared" si="11"/>
        <v>4585</v>
      </c>
      <c r="I104" s="2"/>
      <c r="J104" s="12">
        <v>117425</v>
      </c>
      <c r="K104" s="2"/>
      <c r="L104" t="s">
        <v>355</v>
      </c>
      <c r="M104" t="s">
        <v>456</v>
      </c>
      <c r="N104" t="s">
        <v>462</v>
      </c>
    </row>
    <row r="105" spans="1:14" x14ac:dyDescent="0.25">
      <c r="A105" t="s">
        <v>74</v>
      </c>
      <c r="B105" t="s">
        <v>61</v>
      </c>
      <c r="C105" t="s">
        <v>75</v>
      </c>
      <c r="D105" s="12">
        <v>2500</v>
      </c>
      <c r="E105" s="2"/>
      <c r="F105" s="37">
        <f t="shared" si="12"/>
        <v>0</v>
      </c>
      <c r="G105" s="2"/>
      <c r="H105" s="12">
        <f t="shared" si="11"/>
        <v>0</v>
      </c>
      <c r="I105" s="2"/>
      <c r="J105" s="12">
        <v>2500</v>
      </c>
      <c r="K105" s="2"/>
      <c r="M105" t="s">
        <v>456</v>
      </c>
      <c r="N105" t="s">
        <v>462</v>
      </c>
    </row>
    <row r="106" spans="1:14" x14ac:dyDescent="0.25">
      <c r="A106" t="s">
        <v>74</v>
      </c>
      <c r="B106" t="s">
        <v>34</v>
      </c>
      <c r="C106" t="s">
        <v>35</v>
      </c>
      <c r="D106" s="12">
        <f>ROUNDUP((235.2),0)</f>
        <v>236</v>
      </c>
      <c r="E106" s="2"/>
      <c r="F106" s="37">
        <f t="shared" si="12"/>
        <v>5.3571428571428568E-2</v>
      </c>
      <c r="G106" s="2"/>
      <c r="H106" s="12">
        <f t="shared" si="11"/>
        <v>12</v>
      </c>
      <c r="I106" s="2"/>
      <c r="J106" s="12">
        <v>224</v>
      </c>
      <c r="K106" s="2"/>
      <c r="M106" t="s">
        <v>456</v>
      </c>
      <c r="N106" t="s">
        <v>462</v>
      </c>
    </row>
    <row r="107" spans="1:14" x14ac:dyDescent="0.25">
      <c r="A107" t="s">
        <v>74</v>
      </c>
      <c r="B107" t="s">
        <v>9</v>
      </c>
      <c r="C107" t="s">
        <v>10</v>
      </c>
      <c r="D107" s="12">
        <v>839</v>
      </c>
      <c r="E107" s="2"/>
      <c r="F107" s="37">
        <f t="shared" si="12"/>
        <v>1.4896142433234421</v>
      </c>
      <c r="G107" s="2"/>
      <c r="H107" s="12">
        <f t="shared" si="11"/>
        <v>502</v>
      </c>
      <c r="I107" s="2"/>
      <c r="J107" s="12">
        <v>337</v>
      </c>
      <c r="K107" s="2"/>
      <c r="M107" t="s">
        <v>456</v>
      </c>
      <c r="N107" t="s">
        <v>462</v>
      </c>
    </row>
    <row r="108" spans="1:14" x14ac:dyDescent="0.25">
      <c r="A108" t="s">
        <v>74</v>
      </c>
      <c r="B108" t="s">
        <v>36</v>
      </c>
      <c r="C108" t="s">
        <v>37</v>
      </c>
      <c r="D108" s="12">
        <f>(D105+D104+D103)*0.102</f>
        <v>18275.646000000001</v>
      </c>
      <c r="E108" s="2"/>
      <c r="F108" s="37">
        <f t="shared" si="12"/>
        <v>0.52576774085824018</v>
      </c>
      <c r="G108" s="2"/>
      <c r="H108" s="12">
        <f t="shared" si="11"/>
        <v>6297.6460000000006</v>
      </c>
      <c r="I108" s="2"/>
      <c r="J108" s="12">
        <v>11978</v>
      </c>
      <c r="K108" s="2"/>
      <c r="M108" t="s">
        <v>456</v>
      </c>
      <c r="N108" t="s">
        <v>462</v>
      </c>
    </row>
    <row r="109" spans="1:14" x14ac:dyDescent="0.25">
      <c r="A109" t="s">
        <v>74</v>
      </c>
      <c r="B109" t="s">
        <v>38</v>
      </c>
      <c r="C109" t="s">
        <v>39</v>
      </c>
      <c r="D109" s="12">
        <v>76645</v>
      </c>
      <c r="E109" s="2"/>
      <c r="F109" s="37">
        <f t="shared" si="12"/>
        <v>0.96646654351395733</v>
      </c>
      <c r="G109" s="2"/>
      <c r="H109" s="12">
        <f t="shared" si="11"/>
        <v>37669</v>
      </c>
      <c r="I109" s="2"/>
      <c r="J109" s="12">
        <v>38976</v>
      </c>
      <c r="K109" s="2"/>
      <c r="M109" t="s">
        <v>456</v>
      </c>
      <c r="N109" t="s">
        <v>462</v>
      </c>
    </row>
    <row r="110" spans="1:14" x14ac:dyDescent="0.25">
      <c r="A110" t="s">
        <v>74</v>
      </c>
      <c r="B110" t="s">
        <v>11</v>
      </c>
      <c r="C110" t="s">
        <v>12</v>
      </c>
      <c r="D110" s="12">
        <f>(D105+D104+D103)*0.0765</f>
        <v>13706.7345</v>
      </c>
      <c r="E110" s="2"/>
      <c r="F110" s="37">
        <f t="shared" si="12"/>
        <v>0.49408485938521918</v>
      </c>
      <c r="G110" s="2"/>
      <c r="H110" s="12">
        <f t="shared" si="11"/>
        <v>4532.7345000000005</v>
      </c>
      <c r="I110" s="2"/>
      <c r="J110" s="12">
        <v>9174</v>
      </c>
      <c r="K110" s="2"/>
      <c r="M110" t="s">
        <v>456</v>
      </c>
      <c r="N110" t="s">
        <v>462</v>
      </c>
    </row>
    <row r="111" spans="1:14" x14ac:dyDescent="0.25">
      <c r="A111" t="s">
        <v>74</v>
      </c>
      <c r="B111" t="s">
        <v>13</v>
      </c>
      <c r="C111" t="s">
        <v>14</v>
      </c>
      <c r="D111" s="12">
        <v>3000</v>
      </c>
      <c r="E111" s="2"/>
      <c r="F111" s="37">
        <f t="shared" si="12"/>
        <v>0</v>
      </c>
      <c r="G111" s="2"/>
      <c r="H111" s="12">
        <f t="shared" si="11"/>
        <v>0</v>
      </c>
      <c r="I111" s="2"/>
      <c r="J111" s="12">
        <v>3000</v>
      </c>
      <c r="K111" s="2"/>
      <c r="M111" t="s">
        <v>456</v>
      </c>
      <c r="N111" t="s">
        <v>463</v>
      </c>
    </row>
    <row r="112" spans="1:14" x14ac:dyDescent="0.25">
      <c r="A112" t="s">
        <v>74</v>
      </c>
      <c r="B112" t="s">
        <v>19</v>
      </c>
      <c r="C112" t="s">
        <v>20</v>
      </c>
      <c r="D112" s="12">
        <v>8000</v>
      </c>
      <c r="E112" s="2"/>
      <c r="F112" s="37">
        <f t="shared" si="12"/>
        <v>0</v>
      </c>
      <c r="G112" s="2"/>
      <c r="H112" s="12">
        <f t="shared" si="11"/>
        <v>0</v>
      </c>
      <c r="I112" s="2"/>
      <c r="J112" s="12">
        <v>8000</v>
      </c>
      <c r="K112" s="2"/>
      <c r="M112" t="s">
        <v>456</v>
      </c>
      <c r="N112" t="s">
        <v>463</v>
      </c>
    </row>
    <row r="113" spans="1:14" x14ac:dyDescent="0.25">
      <c r="A113" t="s">
        <v>74</v>
      </c>
      <c r="B113" t="s">
        <v>23</v>
      </c>
      <c r="C113" t="s">
        <v>24</v>
      </c>
      <c r="D113" s="12">
        <v>1000</v>
      </c>
      <c r="E113" s="2"/>
      <c r="F113" s="37">
        <f t="shared" si="12"/>
        <v>0.66666666666666663</v>
      </c>
      <c r="G113" s="2"/>
      <c r="H113" s="12">
        <f t="shared" si="11"/>
        <v>400</v>
      </c>
      <c r="I113" s="2"/>
      <c r="J113" s="12">
        <v>600</v>
      </c>
      <c r="K113" s="2"/>
      <c r="M113" t="s">
        <v>456</v>
      </c>
      <c r="N113" t="s">
        <v>463</v>
      </c>
    </row>
    <row r="114" spans="1:14" x14ac:dyDescent="0.25">
      <c r="A114" t="s">
        <v>74</v>
      </c>
      <c r="B114" t="s">
        <v>42</v>
      </c>
      <c r="C114" t="s">
        <v>43</v>
      </c>
      <c r="D114" s="12">
        <v>100</v>
      </c>
      <c r="E114" s="2"/>
      <c r="F114" s="37">
        <v>1</v>
      </c>
      <c r="G114" s="2"/>
      <c r="H114" s="12">
        <f t="shared" si="11"/>
        <v>100</v>
      </c>
      <c r="I114" s="2"/>
      <c r="J114" s="12">
        <v>0</v>
      </c>
      <c r="K114" s="2"/>
      <c r="M114" t="s">
        <v>456</v>
      </c>
      <c r="N114" t="s">
        <v>463</v>
      </c>
    </row>
    <row r="115" spans="1:14" x14ac:dyDescent="0.25">
      <c r="A115" t="s">
        <v>74</v>
      </c>
      <c r="B115" t="s">
        <v>44</v>
      </c>
      <c r="C115" t="s">
        <v>45</v>
      </c>
      <c r="D115" s="12">
        <v>500</v>
      </c>
      <c r="E115" s="2"/>
      <c r="F115" s="37">
        <f>H115/J115</f>
        <v>0</v>
      </c>
      <c r="G115" s="2"/>
      <c r="H115" s="12">
        <f t="shared" si="11"/>
        <v>0</v>
      </c>
      <c r="I115" s="2"/>
      <c r="J115" s="12">
        <v>500</v>
      </c>
      <c r="K115" s="2"/>
      <c r="M115" t="s">
        <v>456</v>
      </c>
      <c r="N115" t="s">
        <v>463</v>
      </c>
    </row>
    <row r="116" spans="1:14" x14ac:dyDescent="0.25">
      <c r="D116" s="2"/>
      <c r="E116" s="2"/>
      <c r="F116" s="2"/>
      <c r="G116" s="2"/>
      <c r="H116" s="2"/>
      <c r="I116" s="2"/>
      <c r="K116" s="2"/>
    </row>
    <row r="117" spans="1:14" x14ac:dyDescent="0.25">
      <c r="A117" t="s">
        <v>5</v>
      </c>
      <c r="B117" t="s">
        <v>5</v>
      </c>
      <c r="C117" s="1" t="s">
        <v>351</v>
      </c>
      <c r="D117" s="8">
        <f>SUM(D103:D115)</f>
        <v>301475.38050000003</v>
      </c>
      <c r="E117" s="2"/>
      <c r="F117" s="15">
        <f>H117/J117</f>
        <v>0.56436678445779764</v>
      </c>
      <c r="G117" s="2"/>
      <c r="H117" s="8">
        <f>SUM(H103:H115)</f>
        <v>108761.38050000001</v>
      </c>
      <c r="I117" s="2"/>
      <c r="J117" s="8">
        <f>SUM(J103:J115)</f>
        <v>192714</v>
      </c>
      <c r="K117" s="2"/>
      <c r="M117" t="s">
        <v>456</v>
      </c>
    </row>
    <row r="118" spans="1:14" x14ac:dyDescent="0.25">
      <c r="D118" s="2"/>
      <c r="E118" s="2"/>
      <c r="F118" s="2"/>
      <c r="G118" s="2"/>
      <c r="H118" s="2"/>
      <c r="I118" s="2"/>
      <c r="K118" s="2"/>
    </row>
    <row r="119" spans="1:14" ht="30" customHeight="1" x14ac:dyDescent="0.25">
      <c r="A119" t="s">
        <v>78</v>
      </c>
      <c r="B119" t="s">
        <v>30</v>
      </c>
      <c r="C119" t="s">
        <v>79</v>
      </c>
      <c r="D119" s="12">
        <f>ROUNDUP((50689.18),0)</f>
        <v>50690</v>
      </c>
      <c r="E119" s="2"/>
      <c r="F119" s="37">
        <f t="shared" ref="F119:F134" si="13">H119/J119</f>
        <v>1.0599829316861056</v>
      </c>
      <c r="G119" s="2"/>
      <c r="H119" s="12">
        <f t="shared" ref="H119:H134" si="14">D119-J119</f>
        <v>26083</v>
      </c>
      <c r="I119" s="2"/>
      <c r="J119" s="12">
        <v>24607</v>
      </c>
      <c r="K119" s="2"/>
      <c r="L119" s="21" t="s">
        <v>356</v>
      </c>
      <c r="M119" t="s">
        <v>456</v>
      </c>
      <c r="N119" t="s">
        <v>462</v>
      </c>
    </row>
    <row r="120" spans="1:14" x14ac:dyDescent="0.25">
      <c r="A120" t="s">
        <v>78</v>
      </c>
      <c r="B120" t="s">
        <v>34</v>
      </c>
      <c r="C120" t="s">
        <v>35</v>
      </c>
      <c r="D120" s="12">
        <f>ROUNDUP((58.8),0)</f>
        <v>59</v>
      </c>
      <c r="E120" s="2"/>
      <c r="F120" s="37">
        <f t="shared" si="13"/>
        <v>-0.21333333333333335</v>
      </c>
      <c r="G120" s="2"/>
      <c r="H120" s="12">
        <f t="shared" si="14"/>
        <v>-16</v>
      </c>
      <c r="I120" s="2"/>
      <c r="J120" s="12">
        <v>75</v>
      </c>
      <c r="K120" s="2"/>
      <c r="M120" t="s">
        <v>456</v>
      </c>
      <c r="N120" t="s">
        <v>462</v>
      </c>
    </row>
    <row r="121" spans="1:14" x14ac:dyDescent="0.25">
      <c r="A121" t="s">
        <v>78</v>
      </c>
      <c r="B121" t="s">
        <v>9</v>
      </c>
      <c r="C121" t="s">
        <v>10</v>
      </c>
      <c r="D121" s="12">
        <f>ROUNDUP((237.14),0)</f>
        <v>238</v>
      </c>
      <c r="E121" s="2"/>
      <c r="F121" s="37">
        <f t="shared" si="13"/>
        <v>1.0877192982456141</v>
      </c>
      <c r="G121" s="2"/>
      <c r="H121" s="12">
        <f t="shared" si="14"/>
        <v>124</v>
      </c>
      <c r="I121" s="2"/>
      <c r="J121" s="12">
        <v>114</v>
      </c>
      <c r="K121" s="2"/>
      <c r="M121" t="s">
        <v>456</v>
      </c>
      <c r="N121" t="s">
        <v>462</v>
      </c>
    </row>
    <row r="122" spans="1:14" x14ac:dyDescent="0.25">
      <c r="A122" t="s">
        <v>78</v>
      </c>
      <c r="B122" t="s">
        <v>36</v>
      </c>
      <c r="C122" t="s">
        <v>37</v>
      </c>
      <c r="D122" s="12">
        <f>ROUNDUP((5170.3),0)</f>
        <v>5171</v>
      </c>
      <c r="E122" s="2"/>
      <c r="F122" s="37">
        <f t="shared" si="13"/>
        <v>1.0601593625498007</v>
      </c>
      <c r="G122" s="2"/>
      <c r="H122" s="12">
        <f t="shared" si="14"/>
        <v>2661</v>
      </c>
      <c r="I122" s="2"/>
      <c r="J122" s="12">
        <v>2510</v>
      </c>
      <c r="K122" s="2"/>
      <c r="M122" t="s">
        <v>456</v>
      </c>
      <c r="N122" t="s">
        <v>462</v>
      </c>
    </row>
    <row r="123" spans="1:14" x14ac:dyDescent="0.25">
      <c r="A123" t="s">
        <v>78</v>
      </c>
      <c r="B123" t="s">
        <v>38</v>
      </c>
      <c r="C123" t="s">
        <v>39</v>
      </c>
      <c r="D123" s="12">
        <f>ROUNDUP((3230.47),0)</f>
        <v>3231</v>
      </c>
      <c r="E123" s="2"/>
      <c r="F123" s="37">
        <f t="shared" si="13"/>
        <v>1.0605867346938775</v>
      </c>
      <c r="G123" s="2"/>
      <c r="H123" s="12">
        <f t="shared" si="14"/>
        <v>1663</v>
      </c>
      <c r="I123" s="2"/>
      <c r="J123" s="12">
        <v>1568</v>
      </c>
      <c r="K123" s="2"/>
      <c r="M123" t="s">
        <v>456</v>
      </c>
      <c r="N123" t="s">
        <v>462</v>
      </c>
    </row>
    <row r="124" spans="1:14" x14ac:dyDescent="0.25">
      <c r="A124" t="s">
        <v>78</v>
      </c>
      <c r="B124" t="s">
        <v>11</v>
      </c>
      <c r="C124" t="s">
        <v>12</v>
      </c>
      <c r="D124" s="12">
        <f>ROUNDUP((3877.72),0)</f>
        <v>3878</v>
      </c>
      <c r="E124" s="2"/>
      <c r="F124" s="37">
        <f t="shared" si="13"/>
        <v>1.0605738575982997</v>
      </c>
      <c r="G124" s="2"/>
      <c r="H124" s="12">
        <f t="shared" si="14"/>
        <v>1996</v>
      </c>
      <c r="I124" s="2"/>
      <c r="J124" s="12">
        <v>1882</v>
      </c>
      <c r="K124" s="2"/>
      <c r="M124" t="s">
        <v>456</v>
      </c>
      <c r="N124" t="s">
        <v>462</v>
      </c>
    </row>
    <row r="125" spans="1:14" x14ac:dyDescent="0.25">
      <c r="A125" t="s">
        <v>78</v>
      </c>
      <c r="B125" t="s">
        <v>13</v>
      </c>
      <c r="C125" t="s">
        <v>14</v>
      </c>
      <c r="D125" s="12">
        <v>1700</v>
      </c>
      <c r="E125" s="2"/>
      <c r="F125" s="37">
        <f t="shared" si="13"/>
        <v>3</v>
      </c>
      <c r="G125" s="2"/>
      <c r="H125" s="12">
        <f t="shared" si="14"/>
        <v>1275</v>
      </c>
      <c r="I125" s="2"/>
      <c r="J125" s="12">
        <v>425</v>
      </c>
      <c r="K125" s="2"/>
      <c r="L125" t="s">
        <v>425</v>
      </c>
      <c r="M125" t="s">
        <v>456</v>
      </c>
      <c r="N125" t="s">
        <v>463</v>
      </c>
    </row>
    <row r="126" spans="1:14" x14ac:dyDescent="0.25">
      <c r="A126" t="s">
        <v>78</v>
      </c>
      <c r="B126" t="s">
        <v>19</v>
      </c>
      <c r="C126" t="s">
        <v>20</v>
      </c>
      <c r="D126" s="12">
        <v>400</v>
      </c>
      <c r="E126" s="2"/>
      <c r="F126" s="37">
        <f t="shared" si="13"/>
        <v>0.33333333333333331</v>
      </c>
      <c r="G126" s="2"/>
      <c r="H126" s="12">
        <f t="shared" si="14"/>
        <v>100</v>
      </c>
      <c r="I126" s="2"/>
      <c r="J126" s="12">
        <v>300</v>
      </c>
      <c r="K126" s="2"/>
      <c r="M126" t="s">
        <v>456</v>
      </c>
      <c r="N126" t="s">
        <v>463</v>
      </c>
    </row>
    <row r="127" spans="1:14" x14ac:dyDescent="0.25">
      <c r="A127" t="s">
        <v>78</v>
      </c>
      <c r="B127" t="s">
        <v>63</v>
      </c>
      <c r="C127" t="s">
        <v>64</v>
      </c>
      <c r="D127" s="12">
        <v>350</v>
      </c>
      <c r="E127" s="2"/>
      <c r="F127" s="37">
        <f t="shared" si="13"/>
        <v>6.0606060606060608E-2</v>
      </c>
      <c r="G127" s="2"/>
      <c r="H127" s="12">
        <f t="shared" si="14"/>
        <v>20</v>
      </c>
      <c r="I127" s="2"/>
      <c r="J127" s="12">
        <v>330</v>
      </c>
      <c r="K127" s="2"/>
      <c r="M127" t="s">
        <v>456</v>
      </c>
      <c r="N127" t="s">
        <v>463</v>
      </c>
    </row>
    <row r="128" spans="1:14" x14ac:dyDescent="0.25">
      <c r="A128" t="s">
        <v>78</v>
      </c>
      <c r="B128" t="s">
        <v>23</v>
      </c>
      <c r="C128" t="s">
        <v>24</v>
      </c>
      <c r="D128" s="12">
        <v>600</v>
      </c>
      <c r="E128" s="2"/>
      <c r="F128" s="37">
        <f t="shared" si="13"/>
        <v>0.2</v>
      </c>
      <c r="G128" s="2"/>
      <c r="H128" s="12">
        <f t="shared" si="14"/>
        <v>100</v>
      </c>
      <c r="I128" s="2"/>
      <c r="J128" s="12">
        <v>500</v>
      </c>
      <c r="K128" s="2"/>
      <c r="M128" t="s">
        <v>456</v>
      </c>
      <c r="N128" t="s">
        <v>462</v>
      </c>
    </row>
    <row r="129" spans="1:14" x14ac:dyDescent="0.25">
      <c r="A129" t="s">
        <v>78</v>
      </c>
      <c r="B129" t="s">
        <v>42</v>
      </c>
      <c r="C129" t="s">
        <v>43</v>
      </c>
      <c r="D129" s="12">
        <v>200</v>
      </c>
      <c r="E129" s="2"/>
      <c r="F129" s="37">
        <f t="shared" si="13"/>
        <v>0.33333333333333331</v>
      </c>
      <c r="G129" s="2"/>
      <c r="H129" s="12">
        <f t="shared" si="14"/>
        <v>50</v>
      </c>
      <c r="I129" s="2"/>
      <c r="J129" s="12">
        <v>150</v>
      </c>
      <c r="K129" s="2"/>
      <c r="M129" t="s">
        <v>456</v>
      </c>
      <c r="N129" t="s">
        <v>462</v>
      </c>
    </row>
    <row r="130" spans="1:14" x14ac:dyDescent="0.25">
      <c r="A130" t="s">
        <v>78</v>
      </c>
      <c r="B130" t="s">
        <v>44</v>
      </c>
      <c r="C130" t="s">
        <v>45</v>
      </c>
      <c r="D130" s="12">
        <v>700</v>
      </c>
      <c r="E130" s="2"/>
      <c r="F130" s="37">
        <f t="shared" si="13"/>
        <v>1</v>
      </c>
      <c r="G130" s="2"/>
      <c r="H130" s="12">
        <f t="shared" si="14"/>
        <v>350</v>
      </c>
      <c r="I130" s="2"/>
      <c r="J130" s="12">
        <v>350</v>
      </c>
      <c r="K130" s="2"/>
      <c r="M130" t="s">
        <v>456</v>
      </c>
      <c r="N130" t="s">
        <v>462</v>
      </c>
    </row>
    <row r="131" spans="1:14" x14ac:dyDescent="0.25">
      <c r="A131" t="s">
        <v>78</v>
      </c>
      <c r="B131" t="s">
        <v>51</v>
      </c>
      <c r="C131" t="s">
        <v>52</v>
      </c>
      <c r="D131" s="12">
        <v>35000</v>
      </c>
      <c r="E131" s="2"/>
      <c r="F131" s="37">
        <f t="shared" si="13"/>
        <v>0</v>
      </c>
      <c r="G131" s="2"/>
      <c r="H131" s="12">
        <f t="shared" si="14"/>
        <v>0</v>
      </c>
      <c r="I131" s="2"/>
      <c r="J131" s="12">
        <v>35000</v>
      </c>
      <c r="K131" s="2"/>
      <c r="M131" t="s">
        <v>456</v>
      </c>
      <c r="N131" t="s">
        <v>464</v>
      </c>
    </row>
    <row r="132" spans="1:14" x14ac:dyDescent="0.25">
      <c r="A132" t="s">
        <v>78</v>
      </c>
      <c r="B132" t="s">
        <v>76</v>
      </c>
      <c r="C132" t="s">
        <v>77</v>
      </c>
      <c r="D132" s="12">
        <v>850</v>
      </c>
      <c r="E132" s="2"/>
      <c r="F132" s="37">
        <f t="shared" si="13"/>
        <v>0.21428571428571427</v>
      </c>
      <c r="G132" s="2"/>
      <c r="H132" s="12">
        <f t="shared" si="14"/>
        <v>150</v>
      </c>
      <c r="I132" s="2"/>
      <c r="J132" s="12">
        <v>700</v>
      </c>
      <c r="K132" s="2"/>
      <c r="M132" t="s">
        <v>456</v>
      </c>
      <c r="N132" t="s">
        <v>464</v>
      </c>
    </row>
    <row r="133" spans="1:14" x14ac:dyDescent="0.25">
      <c r="A133" t="s">
        <v>78</v>
      </c>
      <c r="B133" t="s">
        <v>80</v>
      </c>
      <c r="C133" t="s">
        <v>81</v>
      </c>
      <c r="D133" s="12">
        <v>2000</v>
      </c>
      <c r="E133" s="2"/>
      <c r="F133" s="37">
        <f t="shared" si="13"/>
        <v>0</v>
      </c>
      <c r="G133" s="2"/>
      <c r="H133" s="12">
        <f t="shared" si="14"/>
        <v>0</v>
      </c>
      <c r="I133" s="2"/>
      <c r="J133" s="12">
        <v>2000</v>
      </c>
      <c r="K133" s="2"/>
      <c r="M133" t="s">
        <v>456</v>
      </c>
      <c r="N133" t="s">
        <v>464</v>
      </c>
    </row>
    <row r="134" spans="1:14" x14ac:dyDescent="0.25">
      <c r="A134" t="s">
        <v>78</v>
      </c>
      <c r="B134" t="s">
        <v>82</v>
      </c>
      <c r="C134" t="s">
        <v>83</v>
      </c>
      <c r="D134" s="12">
        <v>30000</v>
      </c>
      <c r="E134" s="2"/>
      <c r="F134" s="37">
        <f t="shared" si="13"/>
        <v>0</v>
      </c>
      <c r="G134" s="2"/>
      <c r="H134" s="12">
        <f t="shared" si="14"/>
        <v>0</v>
      </c>
      <c r="I134" s="2"/>
      <c r="J134" s="12">
        <v>30000</v>
      </c>
      <c r="K134" s="2"/>
      <c r="M134" t="s">
        <v>456</v>
      </c>
      <c r="N134" t="s">
        <v>464</v>
      </c>
    </row>
    <row r="135" spans="1:14" x14ac:dyDescent="0.25">
      <c r="D135" s="2"/>
      <c r="E135" s="2"/>
      <c r="F135" s="2"/>
      <c r="G135" s="2"/>
      <c r="H135" s="2"/>
      <c r="I135" s="2"/>
      <c r="K135" s="2"/>
    </row>
    <row r="136" spans="1:14" x14ac:dyDescent="0.25">
      <c r="A136" t="s">
        <v>5</v>
      </c>
      <c r="B136" t="s">
        <v>5</v>
      </c>
      <c r="C136" s="1" t="s">
        <v>352</v>
      </c>
      <c r="D136" s="8">
        <f>SUM(D119:D134)</f>
        <v>135067</v>
      </c>
      <c r="E136" s="2"/>
      <c r="F136" s="15">
        <f>H136/J136</f>
        <v>0.34380316582264625</v>
      </c>
      <c r="G136" s="2"/>
      <c r="H136" s="8">
        <f>SUM(H119:H134)</f>
        <v>34556</v>
      </c>
      <c r="I136" s="2"/>
      <c r="J136" s="8">
        <f>SUM(J119:J134)</f>
        <v>100511</v>
      </c>
      <c r="K136" s="2"/>
      <c r="M136" t="s">
        <v>456</v>
      </c>
    </row>
    <row r="137" spans="1:14" x14ac:dyDescent="0.25">
      <c r="D137" s="2"/>
      <c r="E137" s="2"/>
      <c r="F137" s="2"/>
      <c r="G137" s="2"/>
      <c r="H137" s="2"/>
      <c r="I137" s="2"/>
      <c r="K137" s="2"/>
    </row>
    <row r="138" spans="1:14" x14ac:dyDescent="0.25">
      <c r="A138" t="s">
        <v>84</v>
      </c>
      <c r="B138" t="s">
        <v>57</v>
      </c>
      <c r="C138" t="s">
        <v>58</v>
      </c>
      <c r="D138" s="12">
        <f>ROUNDUP((79572.59),0)</f>
        <v>79573</v>
      </c>
      <c r="E138" s="2"/>
      <c r="F138" s="37">
        <f t="shared" ref="F138:F152" si="15">H138/J138</f>
        <v>3.0004530451103489E-2</v>
      </c>
      <c r="G138" s="2"/>
      <c r="H138" s="12">
        <f t="shared" ref="H138:H152" si="16">D138-J138</f>
        <v>2318</v>
      </c>
      <c r="I138" s="2"/>
      <c r="J138" s="12">
        <v>77255</v>
      </c>
      <c r="K138" s="2"/>
      <c r="L138" t="s">
        <v>355</v>
      </c>
      <c r="M138" t="s">
        <v>456</v>
      </c>
      <c r="N138" t="s">
        <v>462</v>
      </c>
    </row>
    <row r="139" spans="1:14" ht="30" x14ac:dyDescent="0.25">
      <c r="A139" t="s">
        <v>84</v>
      </c>
      <c r="B139" t="s">
        <v>30</v>
      </c>
      <c r="C139" t="s">
        <v>31</v>
      </c>
      <c r="D139" s="12">
        <f>ROUNDUP((18210.4),0)</f>
        <v>18211</v>
      </c>
      <c r="E139" s="2"/>
      <c r="F139" s="37">
        <f t="shared" si="15"/>
        <v>-0.56397548244983964</v>
      </c>
      <c r="G139" s="2"/>
      <c r="H139" s="12">
        <f t="shared" si="16"/>
        <v>-23555</v>
      </c>
      <c r="I139" s="2"/>
      <c r="J139" s="12">
        <v>41766</v>
      </c>
      <c r="K139" s="2"/>
      <c r="L139" s="21" t="s">
        <v>356</v>
      </c>
      <c r="M139" t="s">
        <v>456</v>
      </c>
      <c r="N139" t="s">
        <v>462</v>
      </c>
    </row>
    <row r="140" spans="1:14" x14ac:dyDescent="0.25">
      <c r="A140" t="s">
        <v>84</v>
      </c>
      <c r="B140" t="s">
        <v>34</v>
      </c>
      <c r="C140" t="s">
        <v>35</v>
      </c>
      <c r="D140" s="12">
        <f>ROUNDUP((117.6),0)</f>
        <v>118</v>
      </c>
      <c r="E140" s="2"/>
      <c r="F140" s="37">
        <f t="shared" si="15"/>
        <v>-0.20805369127516779</v>
      </c>
      <c r="G140" s="2"/>
      <c r="H140" s="12">
        <f t="shared" si="16"/>
        <v>-31</v>
      </c>
      <c r="I140" s="2"/>
      <c r="J140" s="12">
        <v>149</v>
      </c>
      <c r="K140" s="2"/>
      <c r="M140" t="s">
        <v>456</v>
      </c>
      <c r="N140" t="s">
        <v>462</v>
      </c>
    </row>
    <row r="141" spans="1:14" x14ac:dyDescent="0.25">
      <c r="A141" t="s">
        <v>84</v>
      </c>
      <c r="B141" t="s">
        <v>9</v>
      </c>
      <c r="C141" t="s">
        <v>10</v>
      </c>
      <c r="D141" s="12">
        <f>ROUNDUP((2746.86),0)</f>
        <v>2747</v>
      </c>
      <c r="E141" s="2"/>
      <c r="F141" s="37">
        <f t="shared" si="15"/>
        <v>6.5554693560899921E-2</v>
      </c>
      <c r="G141" s="2"/>
      <c r="H141" s="12">
        <f t="shared" si="16"/>
        <v>169</v>
      </c>
      <c r="I141" s="2"/>
      <c r="J141" s="12">
        <v>2578</v>
      </c>
      <c r="K141" s="2"/>
      <c r="M141" t="s">
        <v>456</v>
      </c>
      <c r="N141" t="s">
        <v>462</v>
      </c>
    </row>
    <row r="142" spans="1:14" x14ac:dyDescent="0.25">
      <c r="A142" t="s">
        <v>84</v>
      </c>
      <c r="B142" t="s">
        <v>36</v>
      </c>
      <c r="C142" t="s">
        <v>37</v>
      </c>
      <c r="D142" s="12">
        <f>ROUNDUP((8116.4),0)</f>
        <v>8117</v>
      </c>
      <c r="E142" s="2"/>
      <c r="F142" s="37">
        <f t="shared" si="15"/>
        <v>-0.21876804619826756</v>
      </c>
      <c r="G142" s="2"/>
      <c r="H142" s="12">
        <f t="shared" si="16"/>
        <v>-2273</v>
      </c>
      <c r="I142" s="2"/>
      <c r="J142" s="12">
        <v>10390</v>
      </c>
      <c r="K142" s="2"/>
      <c r="M142" t="s">
        <v>456</v>
      </c>
      <c r="N142" t="s">
        <v>462</v>
      </c>
    </row>
    <row r="143" spans="1:14" x14ac:dyDescent="0.25">
      <c r="A143" t="s">
        <v>84</v>
      </c>
      <c r="B143" t="s">
        <v>38</v>
      </c>
      <c r="C143" t="s">
        <v>39</v>
      </c>
      <c r="D143" s="12">
        <f>ROUNDUP((27269.05),0)</f>
        <v>27270</v>
      </c>
      <c r="E143" s="2"/>
      <c r="F143" s="37">
        <f t="shared" si="15"/>
        <v>0.38813947569356072</v>
      </c>
      <c r="G143" s="2"/>
      <c r="H143" s="12">
        <f t="shared" si="16"/>
        <v>7625</v>
      </c>
      <c r="I143" s="2"/>
      <c r="J143" s="12">
        <v>19645</v>
      </c>
      <c r="K143" s="2"/>
      <c r="M143" t="s">
        <v>456</v>
      </c>
      <c r="N143" t="s">
        <v>462</v>
      </c>
    </row>
    <row r="144" spans="1:14" x14ac:dyDescent="0.25">
      <c r="A144" t="s">
        <v>84</v>
      </c>
      <c r="B144" t="s">
        <v>11</v>
      </c>
      <c r="C144" t="s">
        <v>12</v>
      </c>
      <c r="D144" s="12">
        <f>ROUNDUP((7480.4),0)</f>
        <v>7481</v>
      </c>
      <c r="E144" s="2"/>
      <c r="F144" s="37">
        <f t="shared" si="15"/>
        <v>-0.17836353651839648</v>
      </c>
      <c r="G144" s="2"/>
      <c r="H144" s="12">
        <f t="shared" si="16"/>
        <v>-1624</v>
      </c>
      <c r="I144" s="2"/>
      <c r="J144" s="12">
        <v>9105</v>
      </c>
      <c r="K144" s="2"/>
      <c r="M144" t="s">
        <v>456</v>
      </c>
      <c r="N144" t="s">
        <v>462</v>
      </c>
    </row>
    <row r="145" spans="1:14" x14ac:dyDescent="0.25">
      <c r="A145" t="s">
        <v>84</v>
      </c>
      <c r="B145" t="s">
        <v>13</v>
      </c>
      <c r="C145" t="s">
        <v>14</v>
      </c>
      <c r="D145" s="12">
        <v>1600</v>
      </c>
      <c r="E145" s="2"/>
      <c r="F145" s="37">
        <f t="shared" si="15"/>
        <v>1.5873015873015872E-2</v>
      </c>
      <c r="G145" s="2"/>
      <c r="H145" s="12">
        <f t="shared" si="16"/>
        <v>25</v>
      </c>
      <c r="I145" s="2"/>
      <c r="J145" s="12">
        <v>1575</v>
      </c>
      <c r="K145" s="2"/>
      <c r="M145" t="s">
        <v>456</v>
      </c>
      <c r="N145" t="s">
        <v>462</v>
      </c>
    </row>
    <row r="146" spans="1:14" x14ac:dyDescent="0.25">
      <c r="A146" t="s">
        <v>84</v>
      </c>
      <c r="B146" t="s">
        <v>19</v>
      </c>
      <c r="C146" t="s">
        <v>20</v>
      </c>
      <c r="D146" s="12">
        <v>200</v>
      </c>
      <c r="E146" s="2"/>
      <c r="F146" s="37">
        <f t="shared" si="15"/>
        <v>0.33333333333333331</v>
      </c>
      <c r="G146" s="2"/>
      <c r="H146" s="12">
        <f t="shared" si="16"/>
        <v>50</v>
      </c>
      <c r="I146" s="2"/>
      <c r="J146" s="12">
        <v>150</v>
      </c>
      <c r="K146" s="2"/>
      <c r="M146" t="s">
        <v>456</v>
      </c>
      <c r="N146" t="s">
        <v>463</v>
      </c>
    </row>
    <row r="147" spans="1:14" x14ac:dyDescent="0.25">
      <c r="A147" t="s">
        <v>84</v>
      </c>
      <c r="B147" t="s">
        <v>40</v>
      </c>
      <c r="C147" t="s">
        <v>41</v>
      </c>
      <c r="D147" s="12">
        <v>420</v>
      </c>
      <c r="E147" s="2"/>
      <c r="F147" s="37">
        <f t="shared" si="15"/>
        <v>0</v>
      </c>
      <c r="G147" s="2"/>
      <c r="H147" s="12">
        <f t="shared" si="16"/>
        <v>0</v>
      </c>
      <c r="I147" s="2"/>
      <c r="J147" s="12">
        <v>420</v>
      </c>
      <c r="K147" s="2"/>
      <c r="M147" t="s">
        <v>456</v>
      </c>
      <c r="N147" t="s">
        <v>463</v>
      </c>
    </row>
    <row r="148" spans="1:14" x14ac:dyDescent="0.25">
      <c r="A148" t="s">
        <v>84</v>
      </c>
      <c r="B148" t="s">
        <v>85</v>
      </c>
      <c r="C148" t="s">
        <v>86</v>
      </c>
      <c r="D148" s="12">
        <v>850</v>
      </c>
      <c r="E148" s="2"/>
      <c r="F148" s="37">
        <f t="shared" si="15"/>
        <v>0</v>
      </c>
      <c r="G148" s="2"/>
      <c r="H148" s="12">
        <f t="shared" si="16"/>
        <v>0</v>
      </c>
      <c r="I148" s="2"/>
      <c r="J148" s="12">
        <v>850</v>
      </c>
      <c r="K148" s="2"/>
      <c r="M148" t="s">
        <v>456</v>
      </c>
      <c r="N148" t="s">
        <v>463</v>
      </c>
    </row>
    <row r="149" spans="1:14" x14ac:dyDescent="0.25">
      <c r="A149" t="s">
        <v>84</v>
      </c>
      <c r="B149" t="s">
        <v>23</v>
      </c>
      <c r="C149" t="s">
        <v>24</v>
      </c>
      <c r="D149" s="12">
        <v>800</v>
      </c>
      <c r="E149" s="2"/>
      <c r="F149" s="37">
        <f t="shared" si="15"/>
        <v>0.33333333333333331</v>
      </c>
      <c r="G149" s="2"/>
      <c r="H149" s="12">
        <f t="shared" si="16"/>
        <v>200</v>
      </c>
      <c r="I149" s="2"/>
      <c r="J149" s="12">
        <v>600</v>
      </c>
      <c r="K149" s="2"/>
      <c r="M149" t="s">
        <v>456</v>
      </c>
      <c r="N149" t="s">
        <v>462</v>
      </c>
    </row>
    <row r="150" spans="1:14" x14ac:dyDescent="0.25">
      <c r="A150" t="s">
        <v>84</v>
      </c>
      <c r="B150" t="s">
        <v>42</v>
      </c>
      <c r="C150" t="s">
        <v>43</v>
      </c>
      <c r="D150" s="12">
        <v>120</v>
      </c>
      <c r="E150" s="2"/>
      <c r="F150" s="37">
        <f t="shared" si="15"/>
        <v>0</v>
      </c>
      <c r="G150" s="2"/>
      <c r="H150" s="12">
        <f t="shared" si="16"/>
        <v>0</v>
      </c>
      <c r="I150" s="2"/>
      <c r="J150" s="12">
        <v>120</v>
      </c>
      <c r="K150" s="2"/>
      <c r="M150" t="s">
        <v>456</v>
      </c>
      <c r="N150" t="s">
        <v>462</v>
      </c>
    </row>
    <row r="151" spans="1:14" x14ac:dyDescent="0.25">
      <c r="A151" t="s">
        <v>84</v>
      </c>
      <c r="B151" t="s">
        <v>87</v>
      </c>
      <c r="C151" t="s">
        <v>88</v>
      </c>
      <c r="D151" s="12">
        <v>200</v>
      </c>
      <c r="E151" s="2"/>
      <c r="F151" s="37">
        <f t="shared" si="15"/>
        <v>-0.8</v>
      </c>
      <c r="G151" s="2"/>
      <c r="H151" s="12">
        <f t="shared" si="16"/>
        <v>-800</v>
      </c>
      <c r="I151" s="2"/>
      <c r="J151" s="12">
        <v>1000</v>
      </c>
      <c r="K151" s="2"/>
      <c r="L151" t="s">
        <v>360</v>
      </c>
      <c r="M151" t="s">
        <v>456</v>
      </c>
      <c r="N151" t="s">
        <v>463</v>
      </c>
    </row>
    <row r="152" spans="1:14" x14ac:dyDescent="0.25">
      <c r="A152" t="s">
        <v>84</v>
      </c>
      <c r="B152" t="s">
        <v>80</v>
      </c>
      <c r="C152" t="s">
        <v>81</v>
      </c>
      <c r="D152" s="12">
        <v>3150</v>
      </c>
      <c r="E152" s="2"/>
      <c r="F152" s="37">
        <f t="shared" si="15"/>
        <v>2.15</v>
      </c>
      <c r="G152" s="2"/>
      <c r="H152" s="12">
        <f t="shared" si="16"/>
        <v>2150</v>
      </c>
      <c r="I152" s="2"/>
      <c r="J152" s="12">
        <v>1000</v>
      </c>
      <c r="K152" s="2"/>
      <c r="L152" t="s">
        <v>359</v>
      </c>
      <c r="M152" t="s">
        <v>456</v>
      </c>
      <c r="N152" t="s">
        <v>464</v>
      </c>
    </row>
    <row r="153" spans="1:14" x14ac:dyDescent="0.25">
      <c r="D153" s="2"/>
      <c r="E153" s="2"/>
      <c r="F153" s="2"/>
      <c r="G153" s="2"/>
      <c r="H153" s="2"/>
      <c r="I153" s="2"/>
      <c r="K153" s="2"/>
    </row>
    <row r="154" spans="1:14" x14ac:dyDescent="0.25">
      <c r="A154" t="s">
        <v>5</v>
      </c>
      <c r="B154" t="s">
        <v>5</v>
      </c>
      <c r="C154" s="1" t="s">
        <v>353</v>
      </c>
      <c r="D154" s="8">
        <f>SUM(D138:D152)</f>
        <v>150857</v>
      </c>
      <c r="E154" s="2"/>
      <c r="F154" s="15">
        <f>H154/J154</f>
        <v>-9.4512103623584212E-2</v>
      </c>
      <c r="G154" s="2"/>
      <c r="H154" s="8">
        <f>SUM(H138:H152)</f>
        <v>-15746</v>
      </c>
      <c r="I154" s="2"/>
      <c r="J154" s="8">
        <f>SUM(J138:J152)</f>
        <v>166603</v>
      </c>
      <c r="K154" s="2"/>
      <c r="M154" t="s">
        <v>456</v>
      </c>
    </row>
    <row r="155" spans="1:14" x14ac:dyDescent="0.25">
      <c r="D155" s="2"/>
      <c r="E155" s="2"/>
      <c r="F155" s="2"/>
      <c r="G155" s="2"/>
      <c r="H155" s="2"/>
      <c r="I155" s="2"/>
      <c r="K155" s="2"/>
    </row>
    <row r="156" spans="1:14" ht="17.25" customHeight="1" x14ac:dyDescent="0.25">
      <c r="A156" t="s">
        <v>89</v>
      </c>
      <c r="B156" t="s">
        <v>90</v>
      </c>
      <c r="C156" t="s">
        <v>91</v>
      </c>
      <c r="D156" s="12">
        <f>'FY24 Department Head Budget'!D156</f>
        <v>34500</v>
      </c>
      <c r="E156" s="2"/>
      <c r="F156" s="37">
        <f t="shared" ref="F156:F165" si="17">H156/J156</f>
        <v>0.15</v>
      </c>
      <c r="G156" s="2"/>
      <c r="H156" s="12">
        <f t="shared" ref="H156:H165" si="18">D156-J156</f>
        <v>4500</v>
      </c>
      <c r="I156" s="2"/>
      <c r="J156" s="12">
        <v>30000</v>
      </c>
      <c r="K156" s="2"/>
      <c r="L156" s="21" t="s">
        <v>414</v>
      </c>
      <c r="M156" t="s">
        <v>456</v>
      </c>
      <c r="N156" t="s">
        <v>464</v>
      </c>
    </row>
    <row r="157" spans="1:14" ht="17.25" customHeight="1" x14ac:dyDescent="0.25">
      <c r="A157" t="s">
        <v>89</v>
      </c>
      <c r="B157" t="s">
        <v>92</v>
      </c>
      <c r="C157" t="s">
        <v>93</v>
      </c>
      <c r="D157" s="12">
        <f>'FY24 Department Head Budget'!D157</f>
        <v>6650</v>
      </c>
      <c r="E157" s="2"/>
      <c r="F157" s="37">
        <f t="shared" si="17"/>
        <v>0.15012106537530268</v>
      </c>
      <c r="G157" s="2"/>
      <c r="H157" s="12">
        <f t="shared" si="18"/>
        <v>868</v>
      </c>
      <c r="I157" s="2"/>
      <c r="J157" s="12">
        <v>5782</v>
      </c>
      <c r="K157" s="2"/>
      <c r="L157" s="21" t="s">
        <v>414</v>
      </c>
      <c r="M157" t="s">
        <v>456</v>
      </c>
      <c r="N157" t="s">
        <v>464</v>
      </c>
    </row>
    <row r="158" spans="1:14" ht="17.25" customHeight="1" x14ac:dyDescent="0.25">
      <c r="A158" t="s">
        <v>89</v>
      </c>
      <c r="B158" t="s">
        <v>94</v>
      </c>
      <c r="C158" t="s">
        <v>95</v>
      </c>
      <c r="D158" s="12">
        <f>'FY24 Department Head Budget'!D158</f>
        <v>23033</v>
      </c>
      <c r="E158" s="2"/>
      <c r="F158" s="37">
        <f t="shared" si="17"/>
        <v>0.15003994407829038</v>
      </c>
      <c r="G158" s="2"/>
      <c r="H158" s="12">
        <f t="shared" si="18"/>
        <v>3005</v>
      </c>
      <c r="I158" s="2"/>
      <c r="J158" s="12">
        <v>20028</v>
      </c>
      <c r="K158" s="2"/>
      <c r="L158" s="21" t="s">
        <v>414</v>
      </c>
      <c r="M158" t="s">
        <v>456</v>
      </c>
      <c r="N158" t="s">
        <v>464</v>
      </c>
    </row>
    <row r="159" spans="1:14" ht="17.25" customHeight="1" x14ac:dyDescent="0.25">
      <c r="A159" t="s">
        <v>89</v>
      </c>
      <c r="B159" t="s">
        <v>96</v>
      </c>
      <c r="C159" t="s">
        <v>97</v>
      </c>
      <c r="D159" s="12">
        <f>'FY24 Department Head Budget'!D159</f>
        <v>6097</v>
      </c>
      <c r="E159" s="2"/>
      <c r="F159" s="37">
        <f t="shared" si="17"/>
        <v>0.15016034710431994</v>
      </c>
      <c r="G159" s="2"/>
      <c r="H159" s="12">
        <f t="shared" si="18"/>
        <v>796</v>
      </c>
      <c r="I159" s="2"/>
      <c r="J159" s="12">
        <v>5301</v>
      </c>
      <c r="K159" s="2"/>
      <c r="L159" s="21" t="s">
        <v>414</v>
      </c>
      <c r="M159" t="s">
        <v>456</v>
      </c>
      <c r="N159" t="s">
        <v>464</v>
      </c>
    </row>
    <row r="160" spans="1:14" ht="17.25" customHeight="1" x14ac:dyDescent="0.25">
      <c r="A160" t="s">
        <v>89</v>
      </c>
      <c r="B160" t="s">
        <v>98</v>
      </c>
      <c r="C160" t="s">
        <v>99</v>
      </c>
      <c r="D160" s="12">
        <f>'FY24 Department Head Budget'!D160</f>
        <v>43728</v>
      </c>
      <c r="E160" s="2"/>
      <c r="F160" s="37">
        <f t="shared" si="17"/>
        <v>0.15001051967178625</v>
      </c>
      <c r="G160" s="2"/>
      <c r="H160" s="12">
        <f t="shared" si="18"/>
        <v>5704</v>
      </c>
      <c r="I160" s="2"/>
      <c r="J160" s="12">
        <v>38024</v>
      </c>
      <c r="K160" s="2"/>
      <c r="L160" s="21" t="s">
        <v>414</v>
      </c>
      <c r="M160" t="s">
        <v>456</v>
      </c>
      <c r="N160" t="s">
        <v>464</v>
      </c>
    </row>
    <row r="161" spans="1:14" ht="17.25" customHeight="1" x14ac:dyDescent="0.25">
      <c r="A161" t="s">
        <v>89</v>
      </c>
      <c r="B161" t="s">
        <v>100</v>
      </c>
      <c r="C161" t="s">
        <v>101</v>
      </c>
      <c r="D161" s="12">
        <f>'FY24 Department Head Budget'!D161</f>
        <v>489</v>
      </c>
      <c r="E161" s="2"/>
      <c r="F161" s="37">
        <f t="shared" si="17"/>
        <v>0.15058823529411763</v>
      </c>
      <c r="G161" s="2"/>
      <c r="H161" s="12">
        <f t="shared" si="18"/>
        <v>64</v>
      </c>
      <c r="I161" s="2"/>
      <c r="J161" s="12">
        <v>425</v>
      </c>
      <c r="K161" s="2"/>
      <c r="L161" s="21" t="s">
        <v>414</v>
      </c>
      <c r="M161" t="s">
        <v>456</v>
      </c>
      <c r="N161" t="s">
        <v>464</v>
      </c>
    </row>
    <row r="162" spans="1:14" ht="17.25" customHeight="1" x14ac:dyDescent="0.25">
      <c r="A162" t="s">
        <v>89</v>
      </c>
      <c r="B162" t="s">
        <v>102</v>
      </c>
      <c r="C162" t="s">
        <v>103</v>
      </c>
      <c r="D162" s="12">
        <f>'FY24 Department Head Budget'!D162</f>
        <v>1777</v>
      </c>
      <c r="E162" s="2"/>
      <c r="F162" s="37">
        <f t="shared" si="17"/>
        <v>0.15016181229773462</v>
      </c>
      <c r="G162" s="2"/>
      <c r="H162" s="12">
        <f t="shared" si="18"/>
        <v>232</v>
      </c>
      <c r="I162" s="2"/>
      <c r="J162" s="12">
        <v>1545</v>
      </c>
      <c r="K162" s="2"/>
      <c r="L162" s="21" t="s">
        <v>414</v>
      </c>
      <c r="M162" t="s">
        <v>456</v>
      </c>
      <c r="N162" t="s">
        <v>464</v>
      </c>
    </row>
    <row r="163" spans="1:14" ht="17.25" customHeight="1" x14ac:dyDescent="0.25">
      <c r="A163" t="s">
        <v>89</v>
      </c>
      <c r="B163" t="s">
        <v>104</v>
      </c>
      <c r="C163" t="s">
        <v>105</v>
      </c>
      <c r="D163" s="12">
        <f>'FY24 Department Head Budget'!D163</f>
        <v>2371</v>
      </c>
      <c r="E163" s="2"/>
      <c r="F163" s="37">
        <f t="shared" si="17"/>
        <v>0.15041242115477924</v>
      </c>
      <c r="G163" s="2"/>
      <c r="H163" s="12">
        <f t="shared" si="18"/>
        <v>310</v>
      </c>
      <c r="I163" s="2"/>
      <c r="J163" s="12">
        <v>2061</v>
      </c>
      <c r="K163" s="2"/>
      <c r="L163" s="21" t="s">
        <v>414</v>
      </c>
      <c r="M163" t="s">
        <v>456</v>
      </c>
      <c r="N163" t="s">
        <v>464</v>
      </c>
    </row>
    <row r="164" spans="1:14" ht="17.25" customHeight="1" x14ac:dyDescent="0.25">
      <c r="A164" t="s">
        <v>89</v>
      </c>
      <c r="B164" t="s">
        <v>106</v>
      </c>
      <c r="C164" t="s">
        <v>107</v>
      </c>
      <c r="D164" s="12">
        <f>'FY24 Department Head Budget'!D164</f>
        <v>3422</v>
      </c>
      <c r="E164" s="2"/>
      <c r="F164" s="37">
        <f t="shared" si="17"/>
        <v>0.15025210084033613</v>
      </c>
      <c r="G164" s="2"/>
      <c r="H164" s="12">
        <f t="shared" si="18"/>
        <v>447</v>
      </c>
      <c r="I164" s="2"/>
      <c r="J164" s="12">
        <v>2975</v>
      </c>
      <c r="K164" s="2"/>
      <c r="L164" s="21" t="s">
        <v>414</v>
      </c>
      <c r="M164" t="s">
        <v>456</v>
      </c>
      <c r="N164" t="s">
        <v>464</v>
      </c>
    </row>
    <row r="165" spans="1:14" ht="17.25" customHeight="1" x14ac:dyDescent="0.25">
      <c r="A165" t="s">
        <v>89</v>
      </c>
      <c r="B165" t="s">
        <v>108</v>
      </c>
      <c r="C165" t="s">
        <v>109</v>
      </c>
      <c r="D165" s="12">
        <f>'FY24 Department Head Budget'!D165</f>
        <v>1449</v>
      </c>
      <c r="E165" s="2"/>
      <c r="F165" s="37">
        <f t="shared" si="17"/>
        <v>0.15</v>
      </c>
      <c r="G165" s="2"/>
      <c r="H165" s="12">
        <f t="shared" si="18"/>
        <v>189</v>
      </c>
      <c r="I165" s="2"/>
      <c r="J165" s="12">
        <v>1260</v>
      </c>
      <c r="K165" s="2"/>
      <c r="L165" s="21" t="s">
        <v>414</v>
      </c>
      <c r="M165" t="s">
        <v>456</v>
      </c>
      <c r="N165" t="s">
        <v>464</v>
      </c>
    </row>
    <row r="166" spans="1:14" x14ac:dyDescent="0.25">
      <c r="D166" s="2"/>
      <c r="E166" s="2"/>
      <c r="F166" s="2"/>
      <c r="G166" s="2"/>
      <c r="H166" s="2"/>
      <c r="I166" s="2"/>
      <c r="K166" s="2"/>
    </row>
    <row r="167" spans="1:14" x14ac:dyDescent="0.25">
      <c r="A167" t="s">
        <v>5</v>
      </c>
      <c r="B167" t="s">
        <v>5</v>
      </c>
      <c r="C167" s="1" t="s">
        <v>361</v>
      </c>
      <c r="D167" s="8">
        <f>SUM(D156:D165)</f>
        <v>123516</v>
      </c>
      <c r="E167" s="2"/>
      <c r="F167" s="15">
        <f>H167/J167</f>
        <v>0.15004515786631409</v>
      </c>
      <c r="G167" s="2"/>
      <c r="H167" s="8">
        <f>SUM(H156:H165)</f>
        <v>16115</v>
      </c>
      <c r="I167" s="2"/>
      <c r="J167" s="8">
        <f>SUM(J156:J165)</f>
        <v>107401</v>
      </c>
      <c r="K167" s="2"/>
      <c r="M167" t="s">
        <v>456</v>
      </c>
    </row>
    <row r="168" spans="1:14" x14ac:dyDescent="0.25">
      <c r="D168" s="2"/>
      <c r="E168" s="2"/>
      <c r="F168" s="2"/>
      <c r="G168" s="2"/>
      <c r="H168" s="2"/>
      <c r="I168" s="2"/>
      <c r="K168" s="2"/>
    </row>
    <row r="169" spans="1:14" x14ac:dyDescent="0.25">
      <c r="A169" t="s">
        <v>110</v>
      </c>
      <c r="B169" t="s">
        <v>111</v>
      </c>
      <c r="C169" s="30" t="s">
        <v>112</v>
      </c>
      <c r="D169" s="12">
        <f>27000+4200</f>
        <v>31200</v>
      </c>
      <c r="E169" s="2"/>
      <c r="F169" s="37">
        <f>H169/J169</f>
        <v>0.48571428571428571</v>
      </c>
      <c r="G169" s="2"/>
      <c r="H169" s="12">
        <f>D169-J169</f>
        <v>10200</v>
      </c>
      <c r="I169" s="2"/>
      <c r="J169" s="9">
        <v>21000</v>
      </c>
      <c r="K169" s="2"/>
      <c r="L169" t="s">
        <v>443</v>
      </c>
      <c r="M169" t="s">
        <v>456</v>
      </c>
      <c r="N169" t="s">
        <v>463</v>
      </c>
    </row>
    <row r="170" spans="1:14" x14ac:dyDescent="0.25">
      <c r="A170" t="s">
        <v>110</v>
      </c>
      <c r="B170" t="s">
        <v>113</v>
      </c>
      <c r="C170" s="30" t="s">
        <v>114</v>
      </c>
      <c r="D170" s="12">
        <v>14256</v>
      </c>
      <c r="E170" s="2"/>
      <c r="F170" s="37">
        <f>H170/J170</f>
        <v>2.8497222422624629E-2</v>
      </c>
      <c r="G170" s="2"/>
      <c r="H170" s="12">
        <f>D170-J170</f>
        <v>395</v>
      </c>
      <c r="I170" s="2"/>
      <c r="J170" s="9">
        <v>13861</v>
      </c>
      <c r="K170" s="2"/>
      <c r="M170" t="s">
        <v>456</v>
      </c>
      <c r="N170" t="s">
        <v>464</v>
      </c>
    </row>
    <row r="171" spans="1:14" x14ac:dyDescent="0.25">
      <c r="A171" t="s">
        <v>110</v>
      </c>
      <c r="B171" t="s">
        <v>115</v>
      </c>
      <c r="C171" s="30" t="s">
        <v>116</v>
      </c>
      <c r="D171" s="12">
        <v>266370</v>
      </c>
      <c r="E171" s="2"/>
      <c r="F171" s="37">
        <f>H171/J171</f>
        <v>0.2063858695652174</v>
      </c>
      <c r="G171" s="2"/>
      <c r="H171" s="12">
        <f>D171-J171</f>
        <v>45570</v>
      </c>
      <c r="I171" s="2"/>
      <c r="J171" s="9">
        <v>220800</v>
      </c>
      <c r="K171" s="2"/>
      <c r="L171" s="21"/>
      <c r="M171" t="s">
        <v>456</v>
      </c>
      <c r="N171" t="s">
        <v>464</v>
      </c>
    </row>
    <row r="172" spans="1:14" x14ac:dyDescent="0.25">
      <c r="A172" t="s">
        <v>110</v>
      </c>
      <c r="B172" t="s">
        <v>69</v>
      </c>
      <c r="C172" s="30" t="s">
        <v>70</v>
      </c>
      <c r="D172" s="12">
        <f>27000+35000</f>
        <v>62000</v>
      </c>
      <c r="E172" s="2"/>
      <c r="F172" s="37">
        <f>H172/J172</f>
        <v>1.5833333333333333</v>
      </c>
      <c r="G172" s="2"/>
      <c r="H172" s="12">
        <f>D172-J172</f>
        <v>38000</v>
      </c>
      <c r="I172" s="2"/>
      <c r="J172" s="9">
        <v>24000</v>
      </c>
      <c r="K172" s="2"/>
      <c r="L172" t="s">
        <v>442</v>
      </c>
      <c r="M172" t="s">
        <v>456</v>
      </c>
      <c r="N172" t="s">
        <v>463</v>
      </c>
    </row>
    <row r="173" spans="1:14" x14ac:dyDescent="0.25">
      <c r="D173" s="2"/>
      <c r="E173" s="2"/>
      <c r="F173" s="2"/>
      <c r="G173" s="2"/>
      <c r="H173" s="2"/>
      <c r="I173" s="2"/>
      <c r="K173" s="2"/>
    </row>
    <row r="174" spans="1:14" x14ac:dyDescent="0.25">
      <c r="A174" t="s">
        <v>5</v>
      </c>
      <c r="B174" t="s">
        <v>5</v>
      </c>
      <c r="C174" s="1" t="s">
        <v>362</v>
      </c>
      <c r="D174" s="8">
        <f>SUM(D169:D172)</f>
        <v>373826</v>
      </c>
      <c r="E174" s="2"/>
      <c r="F174" s="15">
        <f>H174/J174</f>
        <v>0.33671123252795349</v>
      </c>
      <c r="G174" s="2"/>
      <c r="H174" s="8">
        <f>SUM(H169:H173)</f>
        <v>94165</v>
      </c>
      <c r="I174" s="2"/>
      <c r="J174" s="8">
        <f>SUM(J169:J172)</f>
        <v>279661</v>
      </c>
      <c r="K174" s="2"/>
      <c r="M174" t="s">
        <v>456</v>
      </c>
    </row>
    <row r="175" spans="1:14" s="68" customFormat="1" x14ac:dyDescent="0.25">
      <c r="C175" s="69"/>
      <c r="D175" s="32"/>
      <c r="E175" s="35"/>
      <c r="F175" s="33"/>
      <c r="G175" s="35"/>
      <c r="H175" s="32"/>
      <c r="I175" s="35"/>
      <c r="J175" s="32"/>
      <c r="K175" s="35"/>
    </row>
    <row r="176" spans="1:14" x14ac:dyDescent="0.25">
      <c r="A176" s="20" t="s">
        <v>396</v>
      </c>
      <c r="B176" s="20" t="s">
        <v>397</v>
      </c>
      <c r="C176" t="s">
        <v>402</v>
      </c>
      <c r="D176" s="47">
        <v>4799493</v>
      </c>
      <c r="E176" s="2"/>
      <c r="F176" s="37">
        <f>H176/J176</f>
        <v>8.6501442143459145E-2</v>
      </c>
      <c r="G176" s="2"/>
      <c r="H176" s="12">
        <f>D176-J176</f>
        <v>382110</v>
      </c>
      <c r="I176" s="2"/>
      <c r="J176" s="9">
        <v>4417383</v>
      </c>
      <c r="K176" s="2"/>
    </row>
    <row r="177" spans="1:14" x14ac:dyDescent="0.25">
      <c r="A177" s="20" t="s">
        <v>396</v>
      </c>
      <c r="B177" s="20" t="s">
        <v>398</v>
      </c>
      <c r="C177" t="s">
        <v>403</v>
      </c>
      <c r="D177" s="64">
        <v>2448583</v>
      </c>
      <c r="E177" s="2"/>
      <c r="F177" s="65">
        <f>H177/J177</f>
        <v>-0.14229593482720923</v>
      </c>
      <c r="G177" s="2"/>
      <c r="H177" s="66">
        <f>D177-J177</f>
        <v>-406228</v>
      </c>
      <c r="I177" s="2"/>
      <c r="J177" s="67">
        <v>2854811</v>
      </c>
      <c r="K177" s="2"/>
    </row>
    <row r="178" spans="1:14" x14ac:dyDescent="0.25">
      <c r="A178" s="20" t="s">
        <v>396</v>
      </c>
      <c r="B178" s="20" t="s">
        <v>399</v>
      </c>
      <c r="C178" t="s">
        <v>404</v>
      </c>
      <c r="D178" s="47">
        <v>430229</v>
      </c>
      <c r="E178" s="2"/>
      <c r="F178" s="37">
        <f>H178/J178</f>
        <v>-1.957750330431612E-2</v>
      </c>
      <c r="G178" s="2"/>
      <c r="H178" s="12">
        <f>D178-J178</f>
        <v>-8591</v>
      </c>
      <c r="I178" s="2"/>
      <c r="J178" s="9">
        <v>438820</v>
      </c>
      <c r="K178" s="2"/>
    </row>
    <row r="179" spans="1:14" x14ac:dyDescent="0.25">
      <c r="A179" s="20" t="s">
        <v>396</v>
      </c>
      <c r="B179" s="20" t="s">
        <v>400</v>
      </c>
      <c r="C179" t="s">
        <v>405</v>
      </c>
      <c r="D179" s="47">
        <v>17418</v>
      </c>
      <c r="E179" s="2"/>
      <c r="F179" s="37">
        <f>H179/J179</f>
        <v>-0.20349368940918236</v>
      </c>
      <c r="G179" s="2"/>
      <c r="H179" s="12">
        <f>D179-J179</f>
        <v>-4450</v>
      </c>
      <c r="I179" s="2"/>
      <c r="J179" s="9">
        <v>21868</v>
      </c>
      <c r="K179" s="2"/>
    </row>
    <row r="180" spans="1:14" x14ac:dyDescent="0.25">
      <c r="B180" s="20"/>
      <c r="D180" s="2"/>
      <c r="E180" s="2"/>
      <c r="F180" s="2"/>
      <c r="G180" s="2"/>
      <c r="H180" s="2"/>
      <c r="I180" s="2"/>
      <c r="K180" s="2"/>
    </row>
    <row r="181" spans="1:14" x14ac:dyDescent="0.25">
      <c r="B181" s="20"/>
      <c r="C181" s="1" t="s">
        <v>401</v>
      </c>
      <c r="D181" s="8">
        <f>SUM(D176:D179)</f>
        <v>7695723</v>
      </c>
      <c r="E181" s="2"/>
      <c r="F181" s="15">
        <f>H181/J181</f>
        <v>-4.8053235520728235E-3</v>
      </c>
      <c r="G181" s="2"/>
      <c r="H181" s="8">
        <f>SUM(H176:H179)</f>
        <v>-37159</v>
      </c>
      <c r="I181" s="2"/>
      <c r="J181" s="8">
        <f>SUM(J176:J179)</f>
        <v>7732882</v>
      </c>
      <c r="K181" s="2"/>
    </row>
    <row r="182" spans="1:14" x14ac:dyDescent="0.25">
      <c r="D182" s="2"/>
      <c r="E182" s="2"/>
      <c r="F182" s="2"/>
      <c r="G182" s="2"/>
      <c r="H182" s="2"/>
      <c r="I182" s="2"/>
      <c r="K182" s="2"/>
    </row>
    <row r="183" spans="1:14" x14ac:dyDescent="0.25">
      <c r="A183" t="s">
        <v>117</v>
      </c>
      <c r="B183" t="s">
        <v>30</v>
      </c>
      <c r="C183" t="s">
        <v>79</v>
      </c>
      <c r="D183" s="12">
        <v>13283</v>
      </c>
      <c r="E183" s="2"/>
      <c r="F183" s="37">
        <f t="shared" ref="F183:F197" si="19">H183/J183</f>
        <v>-0.1759925558312655</v>
      </c>
      <c r="G183" s="2"/>
      <c r="H183" s="12">
        <f t="shared" ref="H183:H197" si="20">D183-J183</f>
        <v>-2837</v>
      </c>
      <c r="I183" s="2"/>
      <c r="J183" s="12">
        <v>16120</v>
      </c>
      <c r="K183" s="2"/>
      <c r="M183" t="s">
        <v>456</v>
      </c>
      <c r="N183" t="s">
        <v>462</v>
      </c>
    </row>
    <row r="184" spans="1:14" x14ac:dyDescent="0.25">
      <c r="A184" t="s">
        <v>117</v>
      </c>
      <c r="B184" t="s">
        <v>34</v>
      </c>
      <c r="C184" t="s">
        <v>35</v>
      </c>
      <c r="D184" s="12">
        <f>ROUNDUP((58.8),0)</f>
        <v>59</v>
      </c>
      <c r="E184" s="2"/>
      <c r="F184" s="37">
        <f t="shared" si="19"/>
        <v>-0.21333333333333335</v>
      </c>
      <c r="G184" s="2"/>
      <c r="H184" s="12">
        <f t="shared" si="20"/>
        <v>-16</v>
      </c>
      <c r="I184" s="2"/>
      <c r="J184" s="12">
        <v>75</v>
      </c>
      <c r="K184" s="2"/>
      <c r="M184" t="s">
        <v>456</v>
      </c>
      <c r="N184" t="s">
        <v>462</v>
      </c>
    </row>
    <row r="185" spans="1:14" x14ac:dyDescent="0.25">
      <c r="A185" t="s">
        <v>117</v>
      </c>
      <c r="B185" t="s">
        <v>9</v>
      </c>
      <c r="C185" t="s">
        <v>10</v>
      </c>
      <c r="D185" s="12">
        <f>ROUNDUP((612.52),0)</f>
        <v>613</v>
      </c>
      <c r="E185" s="2"/>
      <c r="F185" s="37">
        <f t="shared" si="19"/>
        <v>0.16318785578747627</v>
      </c>
      <c r="G185" s="2"/>
      <c r="H185" s="12">
        <f t="shared" si="20"/>
        <v>86</v>
      </c>
      <c r="I185" s="2"/>
      <c r="J185" s="12">
        <v>527</v>
      </c>
      <c r="K185" s="2"/>
      <c r="M185" t="s">
        <v>456</v>
      </c>
      <c r="N185" t="s">
        <v>462</v>
      </c>
    </row>
    <row r="186" spans="1:14" x14ac:dyDescent="0.25">
      <c r="A186" t="s">
        <v>117</v>
      </c>
      <c r="B186" t="s">
        <v>11</v>
      </c>
      <c r="C186" t="s">
        <v>118</v>
      </c>
      <c r="D186" s="12">
        <f>ROUNDUP((1016.14),0)</f>
        <v>1017</v>
      </c>
      <c r="E186" s="2"/>
      <c r="F186" s="37">
        <f t="shared" si="19"/>
        <v>-0.17518248175182483</v>
      </c>
      <c r="G186" s="2"/>
      <c r="H186" s="12">
        <f t="shared" si="20"/>
        <v>-216</v>
      </c>
      <c r="I186" s="2"/>
      <c r="J186" s="12">
        <v>1233</v>
      </c>
      <c r="K186" s="2"/>
      <c r="M186" t="s">
        <v>456</v>
      </c>
      <c r="N186" t="s">
        <v>462</v>
      </c>
    </row>
    <row r="187" spans="1:14" x14ac:dyDescent="0.25">
      <c r="A187" t="s">
        <v>117</v>
      </c>
      <c r="B187" t="s">
        <v>15</v>
      </c>
      <c r="C187" t="s">
        <v>16</v>
      </c>
      <c r="D187" s="12">
        <v>6500</v>
      </c>
      <c r="E187" s="2"/>
      <c r="F187" s="37">
        <f t="shared" si="19"/>
        <v>0</v>
      </c>
      <c r="G187" s="2"/>
      <c r="H187" s="12">
        <f t="shared" si="20"/>
        <v>0</v>
      </c>
      <c r="I187" s="2"/>
      <c r="J187" s="12">
        <v>6500</v>
      </c>
      <c r="K187" s="2"/>
      <c r="M187" t="s">
        <v>456</v>
      </c>
      <c r="N187" t="s">
        <v>463</v>
      </c>
    </row>
    <row r="188" spans="1:14" x14ac:dyDescent="0.25">
      <c r="A188" t="s">
        <v>117</v>
      </c>
      <c r="B188" t="s">
        <v>51</v>
      </c>
      <c r="C188" t="s">
        <v>52</v>
      </c>
      <c r="D188" s="12">
        <v>0</v>
      </c>
      <c r="E188" s="2"/>
      <c r="F188" s="37">
        <f t="shared" si="19"/>
        <v>-1</v>
      </c>
      <c r="G188" s="2"/>
      <c r="H188" s="12">
        <f t="shared" si="20"/>
        <v>-20000</v>
      </c>
      <c r="I188" s="2"/>
      <c r="J188" s="12">
        <v>20000</v>
      </c>
      <c r="K188" s="2"/>
      <c r="M188" t="s">
        <v>456</v>
      </c>
      <c r="N188" t="s">
        <v>464</v>
      </c>
    </row>
    <row r="189" spans="1:14" x14ac:dyDescent="0.25">
      <c r="A189" t="s">
        <v>117</v>
      </c>
      <c r="B189" t="s">
        <v>119</v>
      </c>
      <c r="C189" t="s">
        <v>120</v>
      </c>
      <c r="D189" s="12">
        <v>48000</v>
      </c>
      <c r="E189" s="2"/>
      <c r="F189" s="37">
        <f t="shared" si="19"/>
        <v>0</v>
      </c>
      <c r="G189" s="2"/>
      <c r="H189" s="12">
        <f t="shared" si="20"/>
        <v>0</v>
      </c>
      <c r="I189" s="2"/>
      <c r="J189" s="12">
        <v>48000</v>
      </c>
      <c r="K189" s="2"/>
      <c r="M189" t="s">
        <v>456</v>
      </c>
      <c r="N189" t="s">
        <v>463</v>
      </c>
    </row>
    <row r="190" spans="1:14" x14ac:dyDescent="0.25">
      <c r="A190" t="s">
        <v>117</v>
      </c>
      <c r="B190" t="s">
        <v>121</v>
      </c>
      <c r="C190" t="s">
        <v>122</v>
      </c>
      <c r="D190" s="12">
        <f>2300*1.14</f>
        <v>2622</v>
      </c>
      <c r="E190" s="2"/>
      <c r="F190" s="37">
        <f t="shared" si="19"/>
        <v>0.14000000000000001</v>
      </c>
      <c r="G190" s="2"/>
      <c r="H190" s="12">
        <f t="shared" si="20"/>
        <v>322</v>
      </c>
      <c r="I190" s="2"/>
      <c r="J190" s="12">
        <v>2300</v>
      </c>
      <c r="K190" s="2"/>
      <c r="M190" t="s">
        <v>456</v>
      </c>
      <c r="N190" t="s">
        <v>463</v>
      </c>
    </row>
    <row r="191" spans="1:14" x14ac:dyDescent="0.25">
      <c r="A191" t="s">
        <v>117</v>
      </c>
      <c r="B191" t="s">
        <v>123</v>
      </c>
      <c r="C191" t="s">
        <v>124</v>
      </c>
      <c r="D191" s="12">
        <v>10500</v>
      </c>
      <c r="E191" s="2"/>
      <c r="F191" s="37">
        <f t="shared" si="19"/>
        <v>0</v>
      </c>
      <c r="G191" s="2"/>
      <c r="H191" s="12">
        <f t="shared" si="20"/>
        <v>0</v>
      </c>
      <c r="I191" s="2"/>
      <c r="J191" s="12">
        <v>10500</v>
      </c>
      <c r="K191" s="2"/>
      <c r="M191" t="s">
        <v>456</v>
      </c>
      <c r="N191" t="s">
        <v>463</v>
      </c>
    </row>
    <row r="192" spans="1:14" x14ac:dyDescent="0.25">
      <c r="A192" t="s">
        <v>117</v>
      </c>
      <c r="B192" t="s">
        <v>125</v>
      </c>
      <c r="C192" t="s">
        <v>126</v>
      </c>
      <c r="D192" s="12">
        <f>ROUNDUP((856.96),0)</f>
        <v>857</v>
      </c>
      <c r="E192" s="2"/>
      <c r="F192" s="37">
        <f t="shared" si="19"/>
        <v>4.0048543689320391E-2</v>
      </c>
      <c r="G192" s="2"/>
      <c r="H192" s="12">
        <f t="shared" si="20"/>
        <v>33</v>
      </c>
      <c r="I192" s="2"/>
      <c r="J192" s="12">
        <v>824</v>
      </c>
      <c r="K192" s="2"/>
      <c r="L192" t="s">
        <v>426</v>
      </c>
      <c r="M192" t="s">
        <v>456</v>
      </c>
      <c r="N192" t="s">
        <v>463</v>
      </c>
    </row>
    <row r="193" spans="1:14" x14ac:dyDescent="0.25">
      <c r="A193" t="s">
        <v>117</v>
      </c>
      <c r="B193" t="s">
        <v>127</v>
      </c>
      <c r="C193" t="s">
        <v>128</v>
      </c>
      <c r="D193" s="12">
        <v>20000</v>
      </c>
      <c r="E193" s="2"/>
      <c r="F193" s="37">
        <f t="shared" si="19"/>
        <v>0.19760479041916168</v>
      </c>
      <c r="G193" s="2"/>
      <c r="H193" s="12">
        <f t="shared" si="20"/>
        <v>3300</v>
      </c>
      <c r="I193" s="2"/>
      <c r="J193" s="12">
        <v>16700</v>
      </c>
      <c r="K193" s="2"/>
      <c r="M193" t="s">
        <v>456</v>
      </c>
      <c r="N193" t="s">
        <v>463</v>
      </c>
    </row>
    <row r="194" spans="1:14" x14ac:dyDescent="0.25">
      <c r="A194" t="s">
        <v>117</v>
      </c>
      <c r="B194" t="s">
        <v>129</v>
      </c>
      <c r="C194" t="s">
        <v>130</v>
      </c>
      <c r="D194" s="12">
        <v>37000</v>
      </c>
      <c r="E194" s="2"/>
      <c r="F194" s="37">
        <f t="shared" si="19"/>
        <v>8.8235294117647065E-2</v>
      </c>
      <c r="G194" s="2"/>
      <c r="H194" s="12">
        <f t="shared" si="20"/>
        <v>3000</v>
      </c>
      <c r="I194" s="2"/>
      <c r="J194" s="12">
        <v>34000</v>
      </c>
      <c r="K194" s="2"/>
      <c r="M194" t="s">
        <v>456</v>
      </c>
      <c r="N194" t="s">
        <v>463</v>
      </c>
    </row>
    <row r="195" spans="1:14" x14ac:dyDescent="0.25">
      <c r="A195" t="s">
        <v>117</v>
      </c>
      <c r="B195" t="s">
        <v>131</v>
      </c>
      <c r="C195" s="30" t="s">
        <v>132</v>
      </c>
      <c r="D195" s="12">
        <f>70000+68141</f>
        <v>138141</v>
      </c>
      <c r="E195" s="2"/>
      <c r="F195" s="37">
        <f t="shared" si="19"/>
        <v>2.0697999999999999</v>
      </c>
      <c r="G195" s="2"/>
      <c r="H195" s="12">
        <f t="shared" si="20"/>
        <v>93141</v>
      </c>
      <c r="I195" s="2"/>
      <c r="J195" s="12">
        <v>45000</v>
      </c>
      <c r="K195" s="2"/>
      <c r="L195" t="s">
        <v>433</v>
      </c>
      <c r="M195" t="s">
        <v>456</v>
      </c>
      <c r="N195" t="s">
        <v>465</v>
      </c>
    </row>
    <row r="196" spans="1:14" x14ac:dyDescent="0.25">
      <c r="A196" t="s">
        <v>117</v>
      </c>
      <c r="B196" t="s">
        <v>69</v>
      </c>
      <c r="C196" s="30" t="s">
        <v>70</v>
      </c>
      <c r="D196" s="12">
        <v>45000</v>
      </c>
      <c r="E196" s="2"/>
      <c r="F196" s="37">
        <f t="shared" si="19"/>
        <v>0.15666366790900912</v>
      </c>
      <c r="G196" s="2"/>
      <c r="H196" s="12">
        <f t="shared" si="20"/>
        <v>6095</v>
      </c>
      <c r="I196" s="2"/>
      <c r="J196" s="12">
        <v>38905</v>
      </c>
      <c r="K196" s="2"/>
      <c r="L196" t="s">
        <v>432</v>
      </c>
      <c r="M196" t="s">
        <v>456</v>
      </c>
      <c r="N196" t="s">
        <v>463</v>
      </c>
    </row>
    <row r="197" spans="1:14" x14ac:dyDescent="0.25">
      <c r="A197" t="s">
        <v>117</v>
      </c>
      <c r="B197" t="s">
        <v>133</v>
      </c>
      <c r="C197" s="30" t="s">
        <v>134</v>
      </c>
      <c r="D197" s="12">
        <v>23000</v>
      </c>
      <c r="E197" s="2"/>
      <c r="F197" s="37">
        <f t="shared" si="19"/>
        <v>0</v>
      </c>
      <c r="G197" s="2"/>
      <c r="H197" s="12">
        <f t="shared" si="20"/>
        <v>0</v>
      </c>
      <c r="I197" s="2"/>
      <c r="J197" s="12">
        <v>23000</v>
      </c>
      <c r="K197" s="2"/>
      <c r="M197" t="s">
        <v>456</v>
      </c>
      <c r="N197" t="s">
        <v>463</v>
      </c>
    </row>
    <row r="198" spans="1:14" x14ac:dyDescent="0.25">
      <c r="D198" s="2"/>
      <c r="E198" s="2"/>
      <c r="F198" s="2"/>
      <c r="G198" s="2"/>
      <c r="H198" s="2"/>
      <c r="I198" s="2"/>
      <c r="K198" s="2"/>
    </row>
    <row r="199" spans="1:14" x14ac:dyDescent="0.25">
      <c r="A199" t="s">
        <v>5</v>
      </c>
      <c r="B199" t="s">
        <v>5</v>
      </c>
      <c r="C199" s="1" t="s">
        <v>363</v>
      </c>
      <c r="D199" s="8">
        <f>SUM(D183:D197)</f>
        <v>346592</v>
      </c>
      <c r="E199" s="2"/>
      <c r="F199" s="15">
        <f>H199/J199</f>
        <v>0.31442180792160312</v>
      </c>
      <c r="G199" s="2"/>
      <c r="H199" s="8">
        <f>SUM(H183:H197)</f>
        <v>82908</v>
      </c>
      <c r="I199" s="2"/>
      <c r="J199" s="8">
        <f>SUM(J183:J197)</f>
        <v>263684</v>
      </c>
      <c r="K199" s="2"/>
      <c r="M199" t="s">
        <v>456</v>
      </c>
    </row>
    <row r="200" spans="1:14" x14ac:dyDescent="0.25">
      <c r="D200" s="2"/>
      <c r="E200" s="2"/>
      <c r="F200" s="2"/>
      <c r="G200" s="2"/>
      <c r="H200" s="2"/>
      <c r="I200" s="2"/>
      <c r="K200" s="2"/>
    </row>
    <row r="201" spans="1:14" x14ac:dyDescent="0.25">
      <c r="A201" t="s">
        <v>5</v>
      </c>
      <c r="B201" t="s">
        <v>5</v>
      </c>
      <c r="C201" s="1" t="s">
        <v>406</v>
      </c>
      <c r="D201" s="17">
        <f>D199+D174+D167+D154+D136+D117+D101+D83+D59+D55+D44+D34+D14</f>
        <v>2518802.56</v>
      </c>
      <c r="E201" s="2"/>
      <c r="F201" s="27">
        <f>H201/J201</f>
        <v>0.16174178068986769</v>
      </c>
      <c r="G201" s="2"/>
      <c r="H201" s="17">
        <f>H199+H174+H167+H154+H136+H117+H101+H83+H59+H55+H44+H34+H14</f>
        <v>350676.56000000006</v>
      </c>
      <c r="I201" s="2"/>
      <c r="J201" s="17">
        <f>J199+J174+J167+J154+J136+J117+J101+J83+J59+J55+J44+J34+J14</f>
        <v>2168126</v>
      </c>
      <c r="K201" s="2"/>
      <c r="M201" t="s">
        <v>456</v>
      </c>
    </row>
    <row r="202" spans="1:14" x14ac:dyDescent="0.25">
      <c r="D202" s="2"/>
      <c r="E202" s="2"/>
      <c r="F202" s="2"/>
      <c r="G202" s="2"/>
      <c r="H202" s="2"/>
      <c r="I202" s="2"/>
      <c r="K202" s="2"/>
    </row>
    <row r="203" spans="1:14" x14ac:dyDescent="0.25">
      <c r="A203" t="s">
        <v>135</v>
      </c>
      <c r="B203" t="s">
        <v>57</v>
      </c>
      <c r="C203" t="s">
        <v>58</v>
      </c>
      <c r="D203" s="12">
        <f>ROUNDUP((5900.71),0)</f>
        <v>5901</v>
      </c>
      <c r="E203" s="2"/>
      <c r="F203" s="37">
        <f>H203/J203</f>
        <v>3.0022691569209285E-2</v>
      </c>
      <c r="G203" s="2"/>
      <c r="H203" s="12">
        <f>D203-J203</f>
        <v>172</v>
      </c>
      <c r="I203" s="2"/>
      <c r="J203" s="12">
        <v>5729</v>
      </c>
      <c r="K203" s="2"/>
      <c r="M203" t="s">
        <v>457</v>
      </c>
      <c r="N203" t="s">
        <v>462</v>
      </c>
    </row>
    <row r="204" spans="1:14" x14ac:dyDescent="0.25">
      <c r="A204" t="s">
        <v>135</v>
      </c>
      <c r="B204" t="s">
        <v>9</v>
      </c>
      <c r="C204" t="s">
        <v>10</v>
      </c>
      <c r="D204" s="12">
        <f>ROUNDUP((197.38),0)</f>
        <v>198</v>
      </c>
      <c r="E204" s="2"/>
      <c r="F204" s="37">
        <f>H204/J204</f>
        <v>7.0270270270270274E-2</v>
      </c>
      <c r="G204" s="2"/>
      <c r="H204" s="12">
        <f>D204-J204</f>
        <v>13</v>
      </c>
      <c r="I204" s="2"/>
      <c r="J204" s="12">
        <v>185</v>
      </c>
      <c r="K204" s="2"/>
      <c r="M204" t="s">
        <v>457</v>
      </c>
      <c r="N204" t="s">
        <v>462</v>
      </c>
    </row>
    <row r="205" spans="1:14" x14ac:dyDescent="0.25">
      <c r="A205" t="s">
        <v>135</v>
      </c>
      <c r="B205" t="s">
        <v>36</v>
      </c>
      <c r="C205" t="s">
        <v>37</v>
      </c>
      <c r="D205" s="12">
        <f>ROUNDUP((601.87),0)</f>
        <v>602</v>
      </c>
      <c r="E205" s="2"/>
      <c r="F205" s="37">
        <f>H205/J205</f>
        <v>3.0821917808219176E-2</v>
      </c>
      <c r="G205" s="2"/>
      <c r="H205" s="12">
        <f>D205-J205</f>
        <v>18</v>
      </c>
      <c r="I205" s="2"/>
      <c r="J205" s="12">
        <v>584</v>
      </c>
      <c r="K205" s="2"/>
      <c r="M205" t="s">
        <v>457</v>
      </c>
      <c r="N205" t="s">
        <v>462</v>
      </c>
    </row>
    <row r="206" spans="1:14" x14ac:dyDescent="0.25">
      <c r="A206" t="s">
        <v>135</v>
      </c>
      <c r="B206" t="s">
        <v>11</v>
      </c>
      <c r="C206" t="s">
        <v>12</v>
      </c>
      <c r="D206" s="12">
        <f>ROUNDUP((451.4),0)</f>
        <v>452</v>
      </c>
      <c r="E206" s="2"/>
      <c r="F206" s="37">
        <f>H206/J206</f>
        <v>3.1963470319634701E-2</v>
      </c>
      <c r="G206" s="2"/>
      <c r="H206" s="12">
        <f>D206-J206</f>
        <v>14</v>
      </c>
      <c r="I206" s="2"/>
      <c r="J206" s="12">
        <v>438</v>
      </c>
      <c r="K206" s="2"/>
      <c r="M206" t="s">
        <v>457</v>
      </c>
      <c r="N206" t="s">
        <v>462</v>
      </c>
    </row>
    <row r="207" spans="1:14" x14ac:dyDescent="0.25">
      <c r="A207" t="s">
        <v>135</v>
      </c>
      <c r="B207" t="s">
        <v>13</v>
      </c>
      <c r="C207" t="s">
        <v>14</v>
      </c>
      <c r="D207" s="12">
        <v>50</v>
      </c>
      <c r="E207" s="2"/>
      <c r="F207" s="37">
        <f>H207/J207</f>
        <v>0</v>
      </c>
      <c r="G207" s="2"/>
      <c r="H207" s="12">
        <f>D207-J207</f>
        <v>0</v>
      </c>
      <c r="I207" s="2"/>
      <c r="J207" s="12">
        <v>50</v>
      </c>
      <c r="K207" s="2"/>
      <c r="M207" t="s">
        <v>457</v>
      </c>
      <c r="N207" t="s">
        <v>463</v>
      </c>
    </row>
    <row r="208" spans="1:14" x14ac:dyDescent="0.25">
      <c r="D208" s="22"/>
      <c r="E208" s="2"/>
      <c r="F208" s="22"/>
      <c r="G208" s="2"/>
      <c r="H208" s="22"/>
      <c r="I208" s="2"/>
      <c r="K208" s="2"/>
    </row>
    <row r="209" spans="1:14" x14ac:dyDescent="0.25">
      <c r="A209" t="s">
        <v>5</v>
      </c>
      <c r="B209" t="s">
        <v>5</v>
      </c>
      <c r="C209" s="1" t="s">
        <v>364</v>
      </c>
      <c r="D209" s="8">
        <f>SUM(D203:D207)</f>
        <v>7203</v>
      </c>
      <c r="E209" s="2"/>
      <c r="F209" s="15">
        <f>H209/J209</f>
        <v>3.1062124248496994E-2</v>
      </c>
      <c r="G209" s="2"/>
      <c r="H209" s="8">
        <f>SUM(H203:H207)</f>
        <v>217</v>
      </c>
      <c r="I209" s="2"/>
      <c r="J209" s="8">
        <f>SUM(J203:J207)</f>
        <v>6986</v>
      </c>
      <c r="K209" s="2"/>
    </row>
    <row r="210" spans="1:14" x14ac:dyDescent="0.25">
      <c r="D210" s="2"/>
      <c r="E210" s="2"/>
      <c r="F210" s="2"/>
      <c r="G210" s="2"/>
      <c r="H210" s="2"/>
      <c r="I210" s="2"/>
      <c r="K210" s="2"/>
    </row>
    <row r="211" spans="1:14" x14ac:dyDescent="0.25">
      <c r="A211" t="s">
        <v>136</v>
      </c>
      <c r="B211" t="s">
        <v>61</v>
      </c>
      <c r="C211" t="s">
        <v>62</v>
      </c>
      <c r="D211" s="47">
        <v>2500</v>
      </c>
      <c r="E211" s="2"/>
      <c r="F211" s="37">
        <f t="shared" ref="F211:F219" si="21">H211/J211</f>
        <v>0</v>
      </c>
      <c r="G211" s="2"/>
      <c r="H211" s="12">
        <f t="shared" ref="H211:H219" si="22">D211-J211</f>
        <v>0</v>
      </c>
      <c r="I211" s="2"/>
      <c r="J211" s="12">
        <v>2500</v>
      </c>
      <c r="K211" s="2"/>
      <c r="M211" t="s">
        <v>458</v>
      </c>
      <c r="N211" t="s">
        <v>462</v>
      </c>
    </row>
    <row r="212" spans="1:14" x14ac:dyDescent="0.25">
      <c r="A212" t="s">
        <v>136</v>
      </c>
      <c r="B212" t="s">
        <v>9</v>
      </c>
      <c r="C212" t="s">
        <v>10</v>
      </c>
      <c r="D212" s="47">
        <f>ROUNDUP((11.7),0)</f>
        <v>12</v>
      </c>
      <c r="E212" s="2"/>
      <c r="F212" s="37">
        <f t="shared" si="21"/>
        <v>-0.14285714285714285</v>
      </c>
      <c r="G212" s="2"/>
      <c r="H212" s="12">
        <f t="shared" si="22"/>
        <v>-2</v>
      </c>
      <c r="I212" s="2"/>
      <c r="J212" s="12">
        <v>14</v>
      </c>
      <c r="K212" s="2"/>
      <c r="M212" t="s">
        <v>458</v>
      </c>
      <c r="N212" t="s">
        <v>462</v>
      </c>
    </row>
    <row r="213" spans="1:14" x14ac:dyDescent="0.25">
      <c r="A213" t="s">
        <v>136</v>
      </c>
      <c r="B213" t="s">
        <v>36</v>
      </c>
      <c r="C213" t="s">
        <v>37</v>
      </c>
      <c r="D213" s="47">
        <f>ROUNDUP((255),0)</f>
        <v>255</v>
      </c>
      <c r="E213" s="2"/>
      <c r="F213" s="37">
        <f t="shared" si="21"/>
        <v>0</v>
      </c>
      <c r="G213" s="2"/>
      <c r="H213" s="12">
        <f t="shared" si="22"/>
        <v>0</v>
      </c>
      <c r="I213" s="2"/>
      <c r="J213" s="12">
        <v>255</v>
      </c>
      <c r="K213" s="2"/>
      <c r="M213" t="s">
        <v>458</v>
      </c>
      <c r="N213" t="s">
        <v>462</v>
      </c>
    </row>
    <row r="214" spans="1:14" x14ac:dyDescent="0.25">
      <c r="A214" t="s">
        <v>136</v>
      </c>
      <c r="B214" t="s">
        <v>11</v>
      </c>
      <c r="C214" t="s">
        <v>12</v>
      </c>
      <c r="D214" s="47">
        <f>ROUNDUP((191.25),0)</f>
        <v>192</v>
      </c>
      <c r="E214" s="2"/>
      <c r="F214" s="37">
        <f t="shared" si="21"/>
        <v>0</v>
      </c>
      <c r="G214" s="2"/>
      <c r="H214" s="12">
        <f t="shared" si="22"/>
        <v>0</v>
      </c>
      <c r="I214" s="2"/>
      <c r="J214" s="12">
        <v>192</v>
      </c>
      <c r="K214" s="2"/>
      <c r="M214" t="s">
        <v>458</v>
      </c>
      <c r="N214" t="s">
        <v>462</v>
      </c>
    </row>
    <row r="215" spans="1:14" x14ac:dyDescent="0.25">
      <c r="A215" t="s">
        <v>136</v>
      </c>
      <c r="B215" t="s">
        <v>13</v>
      </c>
      <c r="C215" t="s">
        <v>14</v>
      </c>
      <c r="D215" s="47">
        <v>800</v>
      </c>
      <c r="E215" s="2"/>
      <c r="F215" s="37">
        <f t="shared" si="21"/>
        <v>0</v>
      </c>
      <c r="G215" s="2"/>
      <c r="H215" s="12">
        <f t="shared" si="22"/>
        <v>0</v>
      </c>
      <c r="I215" s="2"/>
      <c r="J215" s="12">
        <v>800</v>
      </c>
      <c r="K215" s="2"/>
      <c r="M215" t="s">
        <v>458</v>
      </c>
      <c r="N215" t="s">
        <v>463</v>
      </c>
    </row>
    <row r="216" spans="1:14" x14ac:dyDescent="0.25">
      <c r="A216" t="s">
        <v>136</v>
      </c>
      <c r="B216" t="s">
        <v>19</v>
      </c>
      <c r="C216" t="s">
        <v>20</v>
      </c>
      <c r="D216" s="47">
        <v>100</v>
      </c>
      <c r="E216" s="2"/>
      <c r="F216" s="37">
        <f t="shared" si="21"/>
        <v>0</v>
      </c>
      <c r="G216" s="2"/>
      <c r="H216" s="12">
        <f t="shared" si="22"/>
        <v>0</v>
      </c>
      <c r="I216" s="2"/>
      <c r="J216" s="12">
        <v>100</v>
      </c>
      <c r="K216" s="2"/>
      <c r="M216" t="s">
        <v>458</v>
      </c>
      <c r="N216" t="s">
        <v>463</v>
      </c>
    </row>
    <row r="217" spans="1:14" x14ac:dyDescent="0.25">
      <c r="A217" t="s">
        <v>136</v>
      </c>
      <c r="B217" t="s">
        <v>40</v>
      </c>
      <c r="C217" t="s">
        <v>137</v>
      </c>
      <c r="D217" s="47">
        <v>365</v>
      </c>
      <c r="E217" s="2"/>
      <c r="F217" s="37">
        <f t="shared" si="21"/>
        <v>0</v>
      </c>
      <c r="G217" s="2"/>
      <c r="H217" s="12">
        <f t="shared" si="22"/>
        <v>0</v>
      </c>
      <c r="I217" s="2"/>
      <c r="J217" s="12">
        <v>365</v>
      </c>
      <c r="K217" s="2"/>
      <c r="M217" t="s">
        <v>458</v>
      </c>
      <c r="N217" t="s">
        <v>462</v>
      </c>
    </row>
    <row r="218" spans="1:14" x14ac:dyDescent="0.25">
      <c r="A218" t="s">
        <v>136</v>
      </c>
      <c r="B218" t="s">
        <v>23</v>
      </c>
      <c r="C218" t="s">
        <v>24</v>
      </c>
      <c r="D218" s="47">
        <v>800</v>
      </c>
      <c r="E218" s="2"/>
      <c r="F218" s="37">
        <f t="shared" si="21"/>
        <v>0</v>
      </c>
      <c r="G218" s="2"/>
      <c r="H218" s="12">
        <f t="shared" si="22"/>
        <v>0</v>
      </c>
      <c r="I218" s="2"/>
      <c r="J218" s="12">
        <v>800</v>
      </c>
      <c r="K218" s="2"/>
      <c r="M218" t="s">
        <v>458</v>
      </c>
      <c r="N218" t="s">
        <v>462</v>
      </c>
    </row>
    <row r="219" spans="1:14" x14ac:dyDescent="0.25">
      <c r="A219" t="s">
        <v>136</v>
      </c>
      <c r="B219" t="s">
        <v>138</v>
      </c>
      <c r="C219" t="s">
        <v>139</v>
      </c>
      <c r="D219" s="47">
        <v>40500</v>
      </c>
      <c r="E219" s="2"/>
      <c r="F219" s="37">
        <f t="shared" si="21"/>
        <v>0.35</v>
      </c>
      <c r="G219" s="2"/>
      <c r="H219" s="12">
        <f t="shared" si="22"/>
        <v>10500</v>
      </c>
      <c r="I219" s="2"/>
      <c r="J219" s="12">
        <v>30000</v>
      </c>
      <c r="K219" s="2"/>
      <c r="L219" t="s">
        <v>427</v>
      </c>
      <c r="M219" t="s">
        <v>458</v>
      </c>
      <c r="N219" t="s">
        <v>463</v>
      </c>
    </row>
    <row r="220" spans="1:14" x14ac:dyDescent="0.25">
      <c r="D220" s="2"/>
      <c r="E220" s="2"/>
      <c r="F220" s="2"/>
      <c r="G220" s="2"/>
      <c r="H220" s="2"/>
      <c r="I220" s="2"/>
      <c r="K220" s="2"/>
    </row>
    <row r="221" spans="1:14" x14ac:dyDescent="0.25">
      <c r="A221" t="s">
        <v>5</v>
      </c>
      <c r="B221" t="s">
        <v>5</v>
      </c>
      <c r="C221" s="1" t="s">
        <v>365</v>
      </c>
      <c r="D221" s="8">
        <f>SUM(D211:D219)</f>
        <v>45524</v>
      </c>
      <c r="E221" s="2"/>
      <c r="F221" s="15">
        <f>H221/J221</f>
        <v>0.29972020784560038</v>
      </c>
      <c r="G221" s="2"/>
      <c r="H221" s="8">
        <f>SUM(H211:H219)</f>
        <v>10498</v>
      </c>
      <c r="I221" s="2"/>
      <c r="J221" s="8">
        <f>SUM(J211:J219)</f>
        <v>35026</v>
      </c>
      <c r="K221" s="2"/>
    </row>
    <row r="222" spans="1:14" x14ac:dyDescent="0.25">
      <c r="D222" s="2"/>
      <c r="E222" s="2"/>
      <c r="F222" s="2"/>
      <c r="G222" s="2"/>
      <c r="H222" s="2"/>
      <c r="I222" s="2"/>
      <c r="K222" s="2"/>
    </row>
    <row r="223" spans="1:14" x14ac:dyDescent="0.25">
      <c r="A223" t="s">
        <v>140</v>
      </c>
      <c r="B223" t="s">
        <v>57</v>
      </c>
      <c r="C223" t="s">
        <v>58</v>
      </c>
      <c r="D223" s="47">
        <f>ROUNDUP((98143.34),0)</f>
        <v>98144</v>
      </c>
      <c r="E223" s="2"/>
      <c r="F223" s="37">
        <f t="shared" ref="F223:F258" si="23">H223/J223</f>
        <v>3.0004722674083013E-2</v>
      </c>
      <c r="G223" s="2"/>
      <c r="H223" s="12">
        <f t="shared" ref="H223:H258" si="24">D223-J223</f>
        <v>2859</v>
      </c>
      <c r="I223" s="2"/>
      <c r="J223" s="12">
        <v>95285</v>
      </c>
      <c r="K223" s="2"/>
      <c r="L223" t="s">
        <v>355</v>
      </c>
      <c r="M223" t="s">
        <v>457</v>
      </c>
      <c r="N223" t="s">
        <v>462</v>
      </c>
    </row>
    <row r="224" spans="1:14" x14ac:dyDescent="0.25">
      <c r="A224" t="s">
        <v>140</v>
      </c>
      <c r="B224" t="s">
        <v>30</v>
      </c>
      <c r="C224" t="s">
        <v>31</v>
      </c>
      <c r="D224" s="47">
        <f>ROUNDUP((1098056.83),0)</f>
        <v>1098057</v>
      </c>
      <c r="E224" s="2"/>
      <c r="F224" s="37">
        <f t="shared" si="23"/>
        <v>0.10811312662411383</v>
      </c>
      <c r="G224" s="2"/>
      <c r="H224" s="12">
        <f t="shared" si="24"/>
        <v>107132</v>
      </c>
      <c r="I224" s="2"/>
      <c r="J224" s="12">
        <v>990925</v>
      </c>
      <c r="K224" s="2"/>
      <c r="L224" t="s">
        <v>355</v>
      </c>
      <c r="M224" t="s">
        <v>457</v>
      </c>
      <c r="N224" t="s">
        <v>462</v>
      </c>
    </row>
    <row r="225" spans="1:14" x14ac:dyDescent="0.25">
      <c r="A225" t="s">
        <v>140</v>
      </c>
      <c r="B225" t="s">
        <v>32</v>
      </c>
      <c r="C225" t="s">
        <v>33</v>
      </c>
      <c r="D225" s="47">
        <f>ROUNDUP((53602.85),0)</f>
        <v>53603</v>
      </c>
      <c r="E225" s="2"/>
      <c r="F225" s="37">
        <f t="shared" si="23"/>
        <v>2.9995004035202336E-2</v>
      </c>
      <c r="G225" s="2"/>
      <c r="H225" s="12">
        <f t="shared" si="24"/>
        <v>1561</v>
      </c>
      <c r="I225" s="2"/>
      <c r="J225" s="12">
        <v>52042</v>
      </c>
      <c r="K225" s="2"/>
      <c r="L225" t="s">
        <v>355</v>
      </c>
      <c r="M225" t="s">
        <v>457</v>
      </c>
      <c r="N225" t="s">
        <v>462</v>
      </c>
    </row>
    <row r="226" spans="1:14" x14ac:dyDescent="0.25">
      <c r="A226" t="s">
        <v>140</v>
      </c>
      <c r="B226" t="s">
        <v>141</v>
      </c>
      <c r="C226" t="s">
        <v>142</v>
      </c>
      <c r="D226" s="47">
        <v>17000</v>
      </c>
      <c r="E226" s="2"/>
      <c r="F226" s="37">
        <f t="shared" si="23"/>
        <v>0</v>
      </c>
      <c r="G226" s="2"/>
      <c r="H226" s="12">
        <f t="shared" si="24"/>
        <v>0</v>
      </c>
      <c r="I226" s="2"/>
      <c r="J226" s="12">
        <v>17000</v>
      </c>
      <c r="K226" s="2"/>
      <c r="M226" t="s">
        <v>457</v>
      </c>
      <c r="N226" t="s">
        <v>462</v>
      </c>
    </row>
    <row r="227" spans="1:14" x14ac:dyDescent="0.25">
      <c r="A227" t="s">
        <v>140</v>
      </c>
      <c r="B227" t="s">
        <v>143</v>
      </c>
      <c r="C227" t="s">
        <v>144</v>
      </c>
      <c r="D227" s="47">
        <v>10000</v>
      </c>
      <c r="E227" s="2"/>
      <c r="F227" s="37">
        <f t="shared" si="23"/>
        <v>0.42857142857142855</v>
      </c>
      <c r="G227" s="2"/>
      <c r="H227" s="12">
        <f t="shared" si="24"/>
        <v>3000</v>
      </c>
      <c r="I227" s="2"/>
      <c r="J227" s="12">
        <v>7000</v>
      </c>
      <c r="K227" s="2"/>
      <c r="M227" t="s">
        <v>457</v>
      </c>
      <c r="N227" t="s">
        <v>462</v>
      </c>
    </row>
    <row r="228" spans="1:14" x14ac:dyDescent="0.25">
      <c r="A228" t="s">
        <v>140</v>
      </c>
      <c r="B228" t="s">
        <v>59</v>
      </c>
      <c r="C228" t="s">
        <v>60</v>
      </c>
      <c r="D228" s="47">
        <v>34994</v>
      </c>
      <c r="E228" s="2"/>
      <c r="F228" s="37">
        <f t="shared" si="23"/>
        <v>0</v>
      </c>
      <c r="G228" s="2"/>
      <c r="H228" s="12">
        <f t="shared" si="24"/>
        <v>0</v>
      </c>
      <c r="I228" s="2"/>
      <c r="J228" s="12">
        <v>34994</v>
      </c>
      <c r="K228" s="2"/>
      <c r="M228" t="s">
        <v>457</v>
      </c>
      <c r="N228" t="s">
        <v>462</v>
      </c>
    </row>
    <row r="229" spans="1:14" x14ac:dyDescent="0.25">
      <c r="A229" t="s">
        <v>140</v>
      </c>
      <c r="B229" t="s">
        <v>61</v>
      </c>
      <c r="C229" t="s">
        <v>62</v>
      </c>
      <c r="D229" s="47">
        <v>47704</v>
      </c>
      <c r="E229" s="2"/>
      <c r="F229" s="37">
        <f t="shared" si="23"/>
        <v>0.21076142131979694</v>
      </c>
      <c r="G229" s="2"/>
      <c r="H229" s="12">
        <f t="shared" si="24"/>
        <v>8304</v>
      </c>
      <c r="I229" s="2"/>
      <c r="J229" s="12">
        <v>39400</v>
      </c>
      <c r="K229" s="2"/>
      <c r="M229" t="s">
        <v>457</v>
      </c>
      <c r="N229" t="s">
        <v>462</v>
      </c>
    </row>
    <row r="230" spans="1:14" x14ac:dyDescent="0.25">
      <c r="A230" t="s">
        <v>140</v>
      </c>
      <c r="B230" t="s">
        <v>145</v>
      </c>
      <c r="C230" t="s">
        <v>146</v>
      </c>
      <c r="D230" s="47">
        <v>5000</v>
      </c>
      <c r="E230" s="2"/>
      <c r="F230" s="37">
        <f t="shared" si="23"/>
        <v>0</v>
      </c>
      <c r="G230" s="2"/>
      <c r="H230" s="12">
        <f t="shared" si="24"/>
        <v>0</v>
      </c>
      <c r="I230" s="2"/>
      <c r="J230" s="12">
        <v>5000</v>
      </c>
      <c r="K230" s="2"/>
      <c r="M230" t="s">
        <v>457</v>
      </c>
      <c r="N230" t="s">
        <v>462</v>
      </c>
    </row>
    <row r="231" spans="1:14" x14ac:dyDescent="0.25">
      <c r="A231" t="s">
        <v>140</v>
      </c>
      <c r="B231" t="s">
        <v>147</v>
      </c>
      <c r="C231" t="s">
        <v>148</v>
      </c>
      <c r="D231" s="47">
        <f>ROUNDUP((170178),0)</f>
        <v>170178</v>
      </c>
      <c r="E231" s="2"/>
      <c r="F231" s="37">
        <f t="shared" si="23"/>
        <v>0.18015256588072123</v>
      </c>
      <c r="G231" s="2"/>
      <c r="H231" s="12">
        <f t="shared" si="24"/>
        <v>25978</v>
      </c>
      <c r="I231" s="2"/>
      <c r="J231" s="12">
        <v>144200</v>
      </c>
      <c r="K231" s="2"/>
      <c r="M231" t="s">
        <v>457</v>
      </c>
      <c r="N231" t="s">
        <v>462</v>
      </c>
    </row>
    <row r="232" spans="1:14" x14ac:dyDescent="0.25">
      <c r="A232" t="s">
        <v>140</v>
      </c>
      <c r="B232" t="s">
        <v>34</v>
      </c>
      <c r="C232" t="s">
        <v>35</v>
      </c>
      <c r="D232" s="47">
        <f>ROUNDUP((1308.3),0)</f>
        <v>1309</v>
      </c>
      <c r="E232" s="2"/>
      <c r="F232" s="37">
        <f t="shared" si="23"/>
        <v>-0.21049457177322076</v>
      </c>
      <c r="G232" s="2"/>
      <c r="H232" s="12">
        <f t="shared" si="24"/>
        <v>-349</v>
      </c>
      <c r="I232" s="2"/>
      <c r="J232" s="12">
        <v>1658</v>
      </c>
      <c r="K232" s="2"/>
      <c r="M232" t="s">
        <v>457</v>
      </c>
      <c r="N232" t="s">
        <v>462</v>
      </c>
    </row>
    <row r="233" spans="1:14" x14ac:dyDescent="0.25">
      <c r="A233" t="s">
        <v>140</v>
      </c>
      <c r="B233" t="s">
        <v>9</v>
      </c>
      <c r="C233" t="s">
        <v>10</v>
      </c>
      <c r="D233" s="47">
        <f>ROUNDUP((74448.2),0)</f>
        <v>74449</v>
      </c>
      <c r="E233" s="2"/>
      <c r="F233" s="37">
        <f t="shared" si="23"/>
        <v>0.75301984977277547</v>
      </c>
      <c r="G233" s="2"/>
      <c r="H233" s="12">
        <f t="shared" si="24"/>
        <v>31980</v>
      </c>
      <c r="I233" s="2"/>
      <c r="J233" s="12">
        <v>42469</v>
      </c>
      <c r="K233" s="2"/>
      <c r="M233" t="s">
        <v>457</v>
      </c>
      <c r="N233" t="s">
        <v>462</v>
      </c>
    </row>
    <row r="234" spans="1:14" x14ac:dyDescent="0.25">
      <c r="A234" t="s">
        <v>140</v>
      </c>
      <c r="B234" t="s">
        <v>36</v>
      </c>
      <c r="C234" t="s">
        <v>37</v>
      </c>
      <c r="D234" s="47">
        <f>ROUNDUP((187114.65),0)</f>
        <v>187115</v>
      </c>
      <c r="E234" s="2"/>
      <c r="F234" s="37">
        <f t="shared" si="23"/>
        <v>6.5320367565844153E-2</v>
      </c>
      <c r="G234" s="2"/>
      <c r="H234" s="12">
        <f t="shared" si="24"/>
        <v>11473</v>
      </c>
      <c r="I234" s="2"/>
      <c r="J234" s="12">
        <v>175642</v>
      </c>
      <c r="K234" s="2"/>
      <c r="M234" t="s">
        <v>457</v>
      </c>
      <c r="N234" t="s">
        <v>462</v>
      </c>
    </row>
    <row r="235" spans="1:14" x14ac:dyDescent="0.25">
      <c r="A235" t="s">
        <v>140</v>
      </c>
      <c r="B235" t="s">
        <v>38</v>
      </c>
      <c r="C235" t="s">
        <v>39</v>
      </c>
      <c r="D235" s="47">
        <f>ROUNDUP((347579.6),0)</f>
        <v>347580</v>
      </c>
      <c r="E235" s="2"/>
      <c r="F235" s="37">
        <f t="shared" si="23"/>
        <v>0.10535856256956591</v>
      </c>
      <c r="G235" s="2"/>
      <c r="H235" s="12">
        <f t="shared" si="24"/>
        <v>33130</v>
      </c>
      <c r="I235" s="2"/>
      <c r="J235" s="12">
        <v>314450</v>
      </c>
      <c r="K235" s="2"/>
      <c r="M235" t="s">
        <v>457</v>
      </c>
      <c r="N235" t="s">
        <v>462</v>
      </c>
    </row>
    <row r="236" spans="1:14" x14ac:dyDescent="0.25">
      <c r="A236" t="s">
        <v>140</v>
      </c>
      <c r="B236" t="s">
        <v>11</v>
      </c>
      <c r="C236" t="s">
        <v>12</v>
      </c>
      <c r="D236" s="47">
        <f>ROUNDUP((116102.45),0)</f>
        <v>116103</v>
      </c>
      <c r="E236" s="2"/>
      <c r="F236" s="37">
        <f t="shared" si="23"/>
        <v>0.10873115157997269</v>
      </c>
      <c r="G236" s="2"/>
      <c r="H236" s="12">
        <f t="shared" si="24"/>
        <v>11386</v>
      </c>
      <c r="I236" s="2"/>
      <c r="J236" s="12">
        <v>104717</v>
      </c>
      <c r="K236" s="2"/>
      <c r="M236" t="s">
        <v>457</v>
      </c>
      <c r="N236" t="s">
        <v>462</v>
      </c>
    </row>
    <row r="237" spans="1:14" x14ac:dyDescent="0.25">
      <c r="A237" t="s">
        <v>140</v>
      </c>
      <c r="B237" t="s">
        <v>149</v>
      </c>
      <c r="C237" t="s">
        <v>150</v>
      </c>
      <c r="D237" s="47">
        <v>500</v>
      </c>
      <c r="E237" s="2"/>
      <c r="F237" s="37">
        <f t="shared" si="23"/>
        <v>0</v>
      </c>
      <c r="G237" s="2"/>
      <c r="H237" s="12">
        <f t="shared" si="24"/>
        <v>0</v>
      </c>
      <c r="I237" s="2"/>
      <c r="J237" s="12">
        <v>500</v>
      </c>
      <c r="K237" s="2"/>
      <c r="M237" t="s">
        <v>457</v>
      </c>
      <c r="N237" t="s">
        <v>463</v>
      </c>
    </row>
    <row r="238" spans="1:14" x14ac:dyDescent="0.25">
      <c r="A238" t="s">
        <v>140</v>
      </c>
      <c r="B238" t="s">
        <v>13</v>
      </c>
      <c r="C238" t="s">
        <v>14</v>
      </c>
      <c r="D238" s="47">
        <v>5150</v>
      </c>
      <c r="E238" s="2"/>
      <c r="F238" s="37">
        <f t="shared" si="23"/>
        <v>0</v>
      </c>
      <c r="G238" s="2"/>
      <c r="H238" s="12">
        <f t="shared" si="24"/>
        <v>0</v>
      </c>
      <c r="I238" s="2"/>
      <c r="J238" s="12">
        <v>5150</v>
      </c>
      <c r="K238" s="2"/>
      <c r="M238" t="s">
        <v>457</v>
      </c>
      <c r="N238" t="s">
        <v>463</v>
      </c>
    </row>
    <row r="239" spans="1:14" x14ac:dyDescent="0.25">
      <c r="A239" t="s">
        <v>140</v>
      </c>
      <c r="B239" t="s">
        <v>15</v>
      </c>
      <c r="C239" t="s">
        <v>16</v>
      </c>
      <c r="D239" s="47">
        <v>17000</v>
      </c>
      <c r="E239" s="2"/>
      <c r="F239" s="37">
        <f t="shared" si="23"/>
        <v>0.21428571428571427</v>
      </c>
      <c r="G239" s="2"/>
      <c r="H239" s="12">
        <f t="shared" si="24"/>
        <v>3000</v>
      </c>
      <c r="I239" s="2"/>
      <c r="J239" s="12">
        <v>14000</v>
      </c>
      <c r="K239" s="2"/>
      <c r="M239" t="s">
        <v>457</v>
      </c>
      <c r="N239" t="s">
        <v>463</v>
      </c>
    </row>
    <row r="240" spans="1:14" x14ac:dyDescent="0.25">
      <c r="A240" t="s">
        <v>140</v>
      </c>
      <c r="B240" t="s">
        <v>19</v>
      </c>
      <c r="C240" t="s">
        <v>20</v>
      </c>
      <c r="D240" s="47">
        <v>300</v>
      </c>
      <c r="E240" s="2"/>
      <c r="F240" s="37">
        <f t="shared" si="23"/>
        <v>-0.14285714285714285</v>
      </c>
      <c r="G240" s="2"/>
      <c r="H240" s="12">
        <f t="shared" si="24"/>
        <v>-50</v>
      </c>
      <c r="I240" s="2"/>
      <c r="J240" s="12">
        <v>350</v>
      </c>
      <c r="K240" s="2"/>
      <c r="M240" t="s">
        <v>457</v>
      </c>
      <c r="N240" t="s">
        <v>463</v>
      </c>
    </row>
    <row r="241" spans="1:14" x14ac:dyDescent="0.25">
      <c r="A241" t="s">
        <v>140</v>
      </c>
      <c r="B241" t="s">
        <v>21</v>
      </c>
      <c r="C241" t="s">
        <v>22</v>
      </c>
      <c r="D241" s="47">
        <v>200</v>
      </c>
      <c r="E241" s="2"/>
      <c r="F241" s="37">
        <f t="shared" si="23"/>
        <v>0</v>
      </c>
      <c r="G241" s="2"/>
      <c r="H241" s="12">
        <f t="shared" si="24"/>
        <v>0</v>
      </c>
      <c r="I241" s="2"/>
      <c r="J241" s="12">
        <v>200</v>
      </c>
      <c r="K241" s="2"/>
      <c r="M241" t="s">
        <v>457</v>
      </c>
      <c r="N241" t="s">
        <v>463</v>
      </c>
    </row>
    <row r="242" spans="1:14" x14ac:dyDescent="0.25">
      <c r="A242" t="s">
        <v>140</v>
      </c>
      <c r="B242" t="s">
        <v>63</v>
      </c>
      <c r="C242" t="s">
        <v>64</v>
      </c>
      <c r="D242" s="47">
        <v>3400</v>
      </c>
      <c r="E242" s="2"/>
      <c r="F242" s="37">
        <f t="shared" si="23"/>
        <v>0.30769230769230771</v>
      </c>
      <c r="G242" s="2"/>
      <c r="H242" s="12">
        <f t="shared" si="24"/>
        <v>800</v>
      </c>
      <c r="I242" s="2"/>
      <c r="J242" s="12">
        <v>2600</v>
      </c>
      <c r="K242" s="2"/>
      <c r="M242" t="s">
        <v>457</v>
      </c>
      <c r="N242" t="s">
        <v>463</v>
      </c>
    </row>
    <row r="243" spans="1:14" x14ac:dyDescent="0.25">
      <c r="A243" t="s">
        <v>140</v>
      </c>
      <c r="B243" t="s">
        <v>151</v>
      </c>
      <c r="C243" t="s">
        <v>152</v>
      </c>
      <c r="D243" s="47">
        <v>1750</v>
      </c>
      <c r="E243" s="2"/>
      <c r="F243" s="37">
        <f t="shared" si="23"/>
        <v>0</v>
      </c>
      <c r="G243" s="2"/>
      <c r="H243" s="12">
        <f t="shared" si="24"/>
        <v>0</v>
      </c>
      <c r="I243" s="2"/>
      <c r="J243" s="12">
        <v>1750</v>
      </c>
      <c r="K243" s="2"/>
      <c r="M243" t="s">
        <v>457</v>
      </c>
      <c r="N243" t="s">
        <v>462</v>
      </c>
    </row>
    <row r="244" spans="1:14" x14ac:dyDescent="0.25">
      <c r="A244" t="s">
        <v>140</v>
      </c>
      <c r="B244" t="s">
        <v>153</v>
      </c>
      <c r="C244" t="s">
        <v>154</v>
      </c>
      <c r="D244" s="47">
        <v>21800</v>
      </c>
      <c r="E244" s="2"/>
      <c r="F244" s="37">
        <f t="shared" si="23"/>
        <v>0.12371134020618557</v>
      </c>
      <c r="G244" s="2"/>
      <c r="H244" s="12">
        <f t="shared" si="24"/>
        <v>2400</v>
      </c>
      <c r="I244" s="2"/>
      <c r="J244" s="12">
        <v>19400</v>
      </c>
      <c r="K244" s="2"/>
      <c r="M244" t="s">
        <v>457</v>
      </c>
      <c r="N244" t="s">
        <v>462</v>
      </c>
    </row>
    <row r="245" spans="1:14" x14ac:dyDescent="0.25">
      <c r="A245" t="s">
        <v>140</v>
      </c>
      <c r="B245" t="s">
        <v>40</v>
      </c>
      <c r="C245" t="s">
        <v>41</v>
      </c>
      <c r="D245" s="47">
        <v>6634</v>
      </c>
      <c r="E245" s="2"/>
      <c r="F245" s="37">
        <f t="shared" si="23"/>
        <v>5.7379662097545428E-2</v>
      </c>
      <c r="G245" s="2"/>
      <c r="H245" s="12">
        <f t="shared" si="24"/>
        <v>360</v>
      </c>
      <c r="I245" s="2"/>
      <c r="J245" s="12">
        <v>6274</v>
      </c>
      <c r="K245" s="2"/>
      <c r="M245" t="s">
        <v>457</v>
      </c>
      <c r="N245" t="s">
        <v>462</v>
      </c>
    </row>
    <row r="246" spans="1:14" x14ac:dyDescent="0.25">
      <c r="A246" t="s">
        <v>140</v>
      </c>
      <c r="B246" t="s">
        <v>155</v>
      </c>
      <c r="C246" t="s">
        <v>156</v>
      </c>
      <c r="D246" s="47">
        <v>1900</v>
      </c>
      <c r="E246" s="2"/>
      <c r="F246" s="37">
        <f t="shared" si="23"/>
        <v>0</v>
      </c>
      <c r="G246" s="2"/>
      <c r="H246" s="12">
        <f t="shared" si="24"/>
        <v>0</v>
      </c>
      <c r="I246" s="2"/>
      <c r="J246" s="12">
        <v>1900</v>
      </c>
      <c r="K246" s="2"/>
      <c r="M246" t="s">
        <v>457</v>
      </c>
      <c r="N246" t="s">
        <v>462</v>
      </c>
    </row>
    <row r="247" spans="1:14" x14ac:dyDescent="0.25">
      <c r="A247" t="s">
        <v>140</v>
      </c>
      <c r="B247" t="s">
        <v>85</v>
      </c>
      <c r="C247" t="s">
        <v>86</v>
      </c>
      <c r="D247" s="47">
        <v>33775</v>
      </c>
      <c r="E247" s="2"/>
      <c r="F247" s="37">
        <f t="shared" si="23"/>
        <v>-0.10589013898080742</v>
      </c>
      <c r="G247" s="2"/>
      <c r="H247" s="12">
        <f t="shared" si="24"/>
        <v>-4000</v>
      </c>
      <c r="I247" s="2"/>
      <c r="J247" s="12">
        <v>37775</v>
      </c>
      <c r="K247" s="2"/>
      <c r="M247" t="s">
        <v>457</v>
      </c>
      <c r="N247" t="s">
        <v>463</v>
      </c>
    </row>
    <row r="248" spans="1:14" x14ac:dyDescent="0.25">
      <c r="A248" t="s">
        <v>140</v>
      </c>
      <c r="B248" t="s">
        <v>157</v>
      </c>
      <c r="C248" t="s">
        <v>158</v>
      </c>
      <c r="D248" s="47">
        <v>234</v>
      </c>
      <c r="E248" s="2"/>
      <c r="F248" s="37">
        <f t="shared" si="23"/>
        <v>0</v>
      </c>
      <c r="G248" s="2"/>
      <c r="H248" s="12">
        <f t="shared" si="24"/>
        <v>0</v>
      </c>
      <c r="I248" s="2"/>
      <c r="J248" s="12">
        <v>234</v>
      </c>
      <c r="K248" s="2"/>
      <c r="M248" t="s">
        <v>457</v>
      </c>
      <c r="N248" t="s">
        <v>463</v>
      </c>
    </row>
    <row r="249" spans="1:14" x14ac:dyDescent="0.25">
      <c r="A249" t="s">
        <v>140</v>
      </c>
      <c r="B249" t="s">
        <v>159</v>
      </c>
      <c r="C249" t="s">
        <v>160</v>
      </c>
      <c r="D249" s="47">
        <v>6628</v>
      </c>
      <c r="E249" s="2"/>
      <c r="F249" s="37">
        <f t="shared" si="23"/>
        <v>0.29251170046801872</v>
      </c>
      <c r="G249" s="2"/>
      <c r="H249" s="12">
        <f t="shared" si="24"/>
        <v>1500</v>
      </c>
      <c r="I249" s="2"/>
      <c r="J249" s="12">
        <v>5128</v>
      </c>
      <c r="K249" s="2"/>
      <c r="M249" t="s">
        <v>457</v>
      </c>
      <c r="N249" t="s">
        <v>463</v>
      </c>
    </row>
    <row r="250" spans="1:14" x14ac:dyDescent="0.25">
      <c r="A250" t="s">
        <v>140</v>
      </c>
      <c r="B250" t="s">
        <v>23</v>
      </c>
      <c r="C250" t="s">
        <v>24</v>
      </c>
      <c r="D250" s="47">
        <v>18000</v>
      </c>
      <c r="E250" s="2"/>
      <c r="F250" s="37">
        <f t="shared" si="23"/>
        <v>0.13307314616643587</v>
      </c>
      <c r="G250" s="2"/>
      <c r="H250" s="12">
        <f t="shared" si="24"/>
        <v>2114</v>
      </c>
      <c r="I250" s="2"/>
      <c r="J250" s="12">
        <v>15886</v>
      </c>
      <c r="K250" s="2"/>
      <c r="M250" t="s">
        <v>457</v>
      </c>
      <c r="N250" t="s">
        <v>462</v>
      </c>
    </row>
    <row r="251" spans="1:14" x14ac:dyDescent="0.25">
      <c r="A251" t="s">
        <v>140</v>
      </c>
      <c r="B251" t="s">
        <v>44</v>
      </c>
      <c r="C251" t="s">
        <v>45</v>
      </c>
      <c r="D251" s="47">
        <v>450</v>
      </c>
      <c r="E251" s="2"/>
      <c r="F251" s="37">
        <f t="shared" si="23"/>
        <v>0</v>
      </c>
      <c r="G251" s="2"/>
      <c r="H251" s="12">
        <f t="shared" si="24"/>
        <v>0</v>
      </c>
      <c r="I251" s="2"/>
      <c r="J251" s="12">
        <v>450</v>
      </c>
      <c r="K251" s="2"/>
      <c r="M251" t="s">
        <v>457</v>
      </c>
      <c r="N251" t="s">
        <v>462</v>
      </c>
    </row>
    <row r="252" spans="1:14" x14ac:dyDescent="0.25">
      <c r="A252" t="s">
        <v>140</v>
      </c>
      <c r="B252" t="s">
        <v>161</v>
      </c>
      <c r="C252" t="s">
        <v>162</v>
      </c>
      <c r="D252" s="47">
        <v>2608</v>
      </c>
      <c r="E252" s="2"/>
      <c r="F252" s="37">
        <f t="shared" si="23"/>
        <v>0</v>
      </c>
      <c r="G252" s="2"/>
      <c r="H252" s="12">
        <f t="shared" si="24"/>
        <v>0</v>
      </c>
      <c r="I252" s="2"/>
      <c r="J252" s="12">
        <v>2608</v>
      </c>
      <c r="K252" s="2"/>
      <c r="M252" t="s">
        <v>457</v>
      </c>
      <c r="N252" t="s">
        <v>462</v>
      </c>
    </row>
    <row r="253" spans="1:14" x14ac:dyDescent="0.25">
      <c r="A253" t="s">
        <v>140</v>
      </c>
      <c r="B253" t="s">
        <v>87</v>
      </c>
      <c r="C253" t="s">
        <v>88</v>
      </c>
      <c r="D253" s="47">
        <v>13000</v>
      </c>
      <c r="E253" s="2"/>
      <c r="F253" s="37">
        <f t="shared" si="23"/>
        <v>0</v>
      </c>
      <c r="G253" s="2"/>
      <c r="H253" s="12">
        <f t="shared" si="24"/>
        <v>0</v>
      </c>
      <c r="I253" s="2"/>
      <c r="J253" s="12">
        <v>13000</v>
      </c>
      <c r="K253" s="2"/>
      <c r="M253" t="s">
        <v>457</v>
      </c>
      <c r="N253" t="s">
        <v>463</v>
      </c>
    </row>
    <row r="254" spans="1:14" x14ac:dyDescent="0.25">
      <c r="A254" t="s">
        <v>140</v>
      </c>
      <c r="B254" t="s">
        <v>123</v>
      </c>
      <c r="C254" t="s">
        <v>124</v>
      </c>
      <c r="D254" s="47">
        <v>7768</v>
      </c>
      <c r="E254" s="2"/>
      <c r="F254" s="37">
        <f t="shared" si="23"/>
        <v>0</v>
      </c>
      <c r="G254" s="2"/>
      <c r="H254" s="12">
        <f t="shared" si="24"/>
        <v>0</v>
      </c>
      <c r="I254" s="2"/>
      <c r="J254" s="12">
        <v>7768</v>
      </c>
      <c r="K254" s="2"/>
      <c r="M254" t="s">
        <v>457</v>
      </c>
      <c r="N254" t="s">
        <v>463</v>
      </c>
    </row>
    <row r="255" spans="1:14" x14ac:dyDescent="0.25">
      <c r="A255" t="s">
        <v>140</v>
      </c>
      <c r="B255" t="s">
        <v>163</v>
      </c>
      <c r="C255" t="s">
        <v>164</v>
      </c>
      <c r="D255" s="47">
        <v>2000</v>
      </c>
      <c r="E255" s="2"/>
      <c r="F255" s="37">
        <f t="shared" si="23"/>
        <v>0</v>
      </c>
      <c r="G255" s="2"/>
      <c r="H255" s="12">
        <f t="shared" si="24"/>
        <v>0</v>
      </c>
      <c r="I255" s="2"/>
      <c r="J255" s="12">
        <v>2000</v>
      </c>
      <c r="K255" s="2"/>
      <c r="M255" t="s">
        <v>457</v>
      </c>
      <c r="N255" t="s">
        <v>463</v>
      </c>
    </row>
    <row r="256" spans="1:14" x14ac:dyDescent="0.25">
      <c r="A256" t="s">
        <v>140</v>
      </c>
      <c r="B256" t="s">
        <v>69</v>
      </c>
      <c r="C256" t="s">
        <v>70</v>
      </c>
      <c r="D256" s="47">
        <v>5500</v>
      </c>
      <c r="E256" s="2"/>
      <c r="F256" s="37">
        <f t="shared" si="23"/>
        <v>0</v>
      </c>
      <c r="G256" s="2"/>
      <c r="H256" s="12">
        <f t="shared" si="24"/>
        <v>0</v>
      </c>
      <c r="I256" s="2"/>
      <c r="J256" s="12">
        <v>5500</v>
      </c>
      <c r="K256" s="2"/>
      <c r="M256" t="s">
        <v>457</v>
      </c>
      <c r="N256" t="s">
        <v>463</v>
      </c>
    </row>
    <row r="257" spans="1:14" x14ac:dyDescent="0.25">
      <c r="A257" t="s">
        <v>140</v>
      </c>
      <c r="B257" t="s">
        <v>71</v>
      </c>
      <c r="C257" t="s">
        <v>72</v>
      </c>
      <c r="D257" s="47">
        <f>23750-5000</f>
        <v>18750</v>
      </c>
      <c r="E257" s="2"/>
      <c r="F257" s="37">
        <f t="shared" si="23"/>
        <v>4</v>
      </c>
      <c r="G257" s="2"/>
      <c r="H257" s="12">
        <f t="shared" si="24"/>
        <v>15000</v>
      </c>
      <c r="I257" s="2"/>
      <c r="J257" s="12">
        <v>3750</v>
      </c>
      <c r="K257" s="2"/>
      <c r="L257" t="s">
        <v>428</v>
      </c>
      <c r="M257" t="s">
        <v>457</v>
      </c>
      <c r="N257" t="s">
        <v>465</v>
      </c>
    </row>
    <row r="258" spans="1:14" x14ac:dyDescent="0.25">
      <c r="A258" t="s">
        <v>140</v>
      </c>
      <c r="B258" t="s">
        <v>165</v>
      </c>
      <c r="C258" t="s">
        <v>166</v>
      </c>
      <c r="D258" s="47">
        <f>115000-25000</f>
        <v>90000</v>
      </c>
      <c r="E258" s="2"/>
      <c r="F258" s="37">
        <f t="shared" si="23"/>
        <v>0.34328358208955223</v>
      </c>
      <c r="G258" s="2"/>
      <c r="H258" s="12">
        <f t="shared" si="24"/>
        <v>23000</v>
      </c>
      <c r="I258" s="2"/>
      <c r="J258" s="12">
        <v>67000</v>
      </c>
      <c r="K258" s="2"/>
      <c r="L258" t="s">
        <v>423</v>
      </c>
      <c r="M258" t="s">
        <v>457</v>
      </c>
      <c r="N258" t="s">
        <v>465</v>
      </c>
    </row>
    <row r="259" spans="1:14" x14ac:dyDescent="0.25">
      <c r="D259" s="2"/>
      <c r="E259" s="2"/>
      <c r="F259" s="2"/>
      <c r="G259" s="2"/>
      <c r="H259" s="2"/>
      <c r="I259" s="2"/>
      <c r="K259" s="2"/>
    </row>
    <row r="260" spans="1:14" x14ac:dyDescent="0.25">
      <c r="A260" t="s">
        <v>5</v>
      </c>
      <c r="B260" t="s">
        <v>5</v>
      </c>
      <c r="C260" s="1" t="s">
        <v>366</v>
      </c>
      <c r="D260" s="8">
        <f>SUM(D223:D258)</f>
        <v>2518583</v>
      </c>
      <c r="E260" s="2"/>
      <c r="F260" s="15">
        <f>H260/J260</f>
        <v>0.12536969309720042</v>
      </c>
      <c r="G260" s="2"/>
      <c r="H260" s="8">
        <f>SUM(H223:H258)</f>
        <v>280578</v>
      </c>
      <c r="I260" s="2"/>
      <c r="J260" s="8">
        <f>SUM(J223:J258)</f>
        <v>2238005</v>
      </c>
      <c r="K260" s="2"/>
    </row>
    <row r="261" spans="1:14" x14ac:dyDescent="0.25">
      <c r="D261" s="2"/>
      <c r="E261" s="2"/>
      <c r="F261" s="2"/>
      <c r="G261" s="2"/>
      <c r="H261" s="2"/>
      <c r="I261" s="2"/>
      <c r="K261" s="2"/>
    </row>
    <row r="262" spans="1:14" x14ac:dyDescent="0.25">
      <c r="A262" t="s">
        <v>167</v>
      </c>
      <c r="B262" t="s">
        <v>57</v>
      </c>
      <c r="C262" t="s">
        <v>58</v>
      </c>
      <c r="D262" s="47">
        <f>ROUNDUP((95231.14),0)</f>
        <v>95232</v>
      </c>
      <c r="E262" s="2"/>
      <c r="F262" s="37">
        <f t="shared" ref="F262:F292" si="25">H262/J262</f>
        <v>8.6552723455719599E-2</v>
      </c>
      <c r="G262" s="2"/>
      <c r="H262" s="12">
        <f t="shared" ref="H262:H292" si="26">D262-J262</f>
        <v>7586</v>
      </c>
      <c r="I262" s="2"/>
      <c r="J262" s="12">
        <v>87646</v>
      </c>
      <c r="K262" s="2"/>
      <c r="L262" t="s">
        <v>355</v>
      </c>
      <c r="M262" t="s">
        <v>457</v>
      </c>
      <c r="N262" t="s">
        <v>462</v>
      </c>
    </row>
    <row r="263" spans="1:14" x14ac:dyDescent="0.25">
      <c r="A263" t="s">
        <v>167</v>
      </c>
      <c r="B263" t="s">
        <v>30</v>
      </c>
      <c r="C263" t="s">
        <v>31</v>
      </c>
      <c r="D263" s="47">
        <v>196816</v>
      </c>
      <c r="E263" s="2"/>
      <c r="F263" s="37">
        <f t="shared" si="25"/>
        <v>1.1676964590561154</v>
      </c>
      <c r="G263" s="2"/>
      <c r="H263" s="12">
        <f t="shared" si="26"/>
        <v>106021</v>
      </c>
      <c r="I263" s="2"/>
      <c r="J263" s="12">
        <v>90795</v>
      </c>
      <c r="K263" s="2"/>
      <c r="L263" t="s">
        <v>369</v>
      </c>
      <c r="M263" t="s">
        <v>457</v>
      </c>
      <c r="N263" t="s">
        <v>462</v>
      </c>
    </row>
    <row r="264" spans="1:14" x14ac:dyDescent="0.25">
      <c r="A264" t="s">
        <v>167</v>
      </c>
      <c r="B264" t="s">
        <v>59</v>
      </c>
      <c r="C264" t="s">
        <v>168</v>
      </c>
      <c r="D264" s="47">
        <f>ROUNDUP((208525.3),0)</f>
        <v>208526</v>
      </c>
      <c r="E264" s="2"/>
      <c r="F264" s="37">
        <f t="shared" si="25"/>
        <v>0.13867744225413642</v>
      </c>
      <c r="G264" s="2"/>
      <c r="H264" s="12">
        <f t="shared" si="26"/>
        <v>25396</v>
      </c>
      <c r="I264" s="2"/>
      <c r="J264" s="12">
        <v>183130</v>
      </c>
      <c r="K264" s="2"/>
      <c r="M264" t="s">
        <v>457</v>
      </c>
      <c r="N264" t="s">
        <v>462</v>
      </c>
    </row>
    <row r="265" spans="1:14" x14ac:dyDescent="0.25">
      <c r="A265" t="s">
        <v>167</v>
      </c>
      <c r="B265" t="s">
        <v>34</v>
      </c>
      <c r="C265" t="s">
        <v>35</v>
      </c>
      <c r="D265" s="47">
        <f>ROUNDUP((1252.8),0)</f>
        <v>1253</v>
      </c>
      <c r="E265" s="2"/>
      <c r="F265" s="37">
        <f t="shared" si="25"/>
        <v>0.25803212851405621</v>
      </c>
      <c r="G265" s="2"/>
      <c r="H265" s="12">
        <f t="shared" si="26"/>
        <v>257</v>
      </c>
      <c r="I265" s="2"/>
      <c r="J265" s="12">
        <v>996</v>
      </c>
      <c r="K265" s="2"/>
      <c r="M265" t="s">
        <v>457</v>
      </c>
      <c r="N265" t="s">
        <v>462</v>
      </c>
    </row>
    <row r="266" spans="1:14" x14ac:dyDescent="0.25">
      <c r="A266" t="s">
        <v>167</v>
      </c>
      <c r="B266" t="s">
        <v>9</v>
      </c>
      <c r="C266" t="s">
        <v>10</v>
      </c>
      <c r="D266" s="47">
        <f>ROUNDUP((68527.71),0)</f>
        <v>68528</v>
      </c>
      <c r="E266" s="2"/>
      <c r="F266" s="37">
        <f t="shared" si="25"/>
        <v>2.7652747252747254</v>
      </c>
      <c r="G266" s="2"/>
      <c r="H266" s="12">
        <f t="shared" si="26"/>
        <v>50328</v>
      </c>
      <c r="I266" s="2"/>
      <c r="J266" s="12">
        <v>18200</v>
      </c>
      <c r="K266" s="2"/>
      <c r="M266" t="s">
        <v>457</v>
      </c>
      <c r="N266" t="s">
        <v>462</v>
      </c>
    </row>
    <row r="267" spans="1:14" x14ac:dyDescent="0.25">
      <c r="A267" t="s">
        <v>167</v>
      </c>
      <c r="B267" t="s">
        <v>36</v>
      </c>
      <c r="C267" t="s">
        <v>37</v>
      </c>
      <c r="D267" s="47">
        <f>(D262+D263)*0.102</f>
        <v>29788.895999999997</v>
      </c>
      <c r="E267" s="2"/>
      <c r="F267" s="37">
        <f t="shared" si="25"/>
        <v>0.24582393040859843</v>
      </c>
      <c r="G267" s="2"/>
      <c r="H267" s="12">
        <f t="shared" si="26"/>
        <v>5877.895999999997</v>
      </c>
      <c r="I267" s="2"/>
      <c r="J267" s="12">
        <v>23911</v>
      </c>
      <c r="K267" s="2"/>
      <c r="M267" t="s">
        <v>457</v>
      </c>
      <c r="N267" t="s">
        <v>462</v>
      </c>
    </row>
    <row r="268" spans="1:14" x14ac:dyDescent="0.25">
      <c r="A268" t="s">
        <v>167</v>
      </c>
      <c r="B268" t="s">
        <v>38</v>
      </c>
      <c r="C268" t="s">
        <v>39</v>
      </c>
      <c r="D268" s="47">
        <f>ROUNDUP((96792.28),0)</f>
        <v>96793</v>
      </c>
      <c r="E268" s="2"/>
      <c r="F268" s="37">
        <f t="shared" si="25"/>
        <v>0.83177835392971367</v>
      </c>
      <c r="G268" s="2"/>
      <c r="H268" s="12">
        <f t="shared" si="26"/>
        <v>43952</v>
      </c>
      <c r="I268" s="2"/>
      <c r="J268" s="12">
        <v>52841</v>
      </c>
      <c r="K268" s="2"/>
      <c r="M268" t="s">
        <v>457</v>
      </c>
      <c r="N268" t="s">
        <v>462</v>
      </c>
    </row>
    <row r="269" spans="1:14" x14ac:dyDescent="0.25">
      <c r="A269" t="s">
        <v>167</v>
      </c>
      <c r="B269" t="s">
        <v>11</v>
      </c>
      <c r="C269" t="s">
        <v>12</v>
      </c>
      <c r="D269" s="47">
        <f>(D264+D263+D262)*0.0765</f>
        <v>38293.911</v>
      </c>
      <c r="E269" s="2"/>
      <c r="F269" s="37">
        <f t="shared" si="25"/>
        <v>0.38445086767895881</v>
      </c>
      <c r="G269" s="2"/>
      <c r="H269" s="12">
        <f t="shared" si="26"/>
        <v>10633.911</v>
      </c>
      <c r="I269" s="2"/>
      <c r="J269" s="12">
        <v>27660</v>
      </c>
      <c r="K269" s="2"/>
      <c r="M269" t="s">
        <v>457</v>
      </c>
      <c r="N269" t="s">
        <v>462</v>
      </c>
    </row>
    <row r="270" spans="1:14" x14ac:dyDescent="0.25">
      <c r="A270" t="s">
        <v>167</v>
      </c>
      <c r="B270" t="s">
        <v>13</v>
      </c>
      <c r="C270" t="s">
        <v>14</v>
      </c>
      <c r="D270" s="47">
        <v>500</v>
      </c>
      <c r="E270" s="2"/>
      <c r="F270" s="37">
        <f t="shared" si="25"/>
        <v>0</v>
      </c>
      <c r="G270" s="2"/>
      <c r="H270" s="12">
        <f t="shared" si="26"/>
        <v>0</v>
      </c>
      <c r="I270" s="2"/>
      <c r="J270" s="12">
        <v>500</v>
      </c>
      <c r="K270" s="2"/>
      <c r="M270" t="s">
        <v>457</v>
      </c>
      <c r="N270" t="s">
        <v>463</v>
      </c>
    </row>
    <row r="271" spans="1:14" x14ac:dyDescent="0.25">
      <c r="A271" t="s">
        <v>167</v>
      </c>
      <c r="B271" t="s">
        <v>15</v>
      </c>
      <c r="C271" t="s">
        <v>16</v>
      </c>
      <c r="D271" s="47">
        <v>9000</v>
      </c>
      <c r="E271" s="2"/>
      <c r="F271" s="37">
        <f t="shared" si="25"/>
        <v>0</v>
      </c>
      <c r="G271" s="2"/>
      <c r="H271" s="12">
        <f t="shared" si="26"/>
        <v>0</v>
      </c>
      <c r="I271" s="2"/>
      <c r="J271" s="12">
        <v>9000</v>
      </c>
      <c r="K271" s="2"/>
      <c r="M271" t="s">
        <v>457</v>
      </c>
      <c r="N271" t="s">
        <v>463</v>
      </c>
    </row>
    <row r="272" spans="1:14" x14ac:dyDescent="0.25">
      <c r="A272" t="s">
        <v>167</v>
      </c>
      <c r="B272" t="s">
        <v>19</v>
      </c>
      <c r="C272" t="s">
        <v>20</v>
      </c>
      <c r="D272" s="47">
        <v>75</v>
      </c>
      <c r="E272" s="2"/>
      <c r="F272" s="37">
        <f t="shared" si="25"/>
        <v>0</v>
      </c>
      <c r="G272" s="2"/>
      <c r="H272" s="12">
        <f t="shared" si="26"/>
        <v>0</v>
      </c>
      <c r="I272" s="2"/>
      <c r="J272" s="12">
        <v>75</v>
      </c>
      <c r="K272" s="2"/>
      <c r="M272" t="s">
        <v>457</v>
      </c>
      <c r="N272" t="s">
        <v>463</v>
      </c>
    </row>
    <row r="273" spans="1:14" x14ac:dyDescent="0.25">
      <c r="A273" t="s">
        <v>167</v>
      </c>
      <c r="B273" t="s">
        <v>153</v>
      </c>
      <c r="C273" t="s">
        <v>154</v>
      </c>
      <c r="D273" s="47">
        <v>6000</v>
      </c>
      <c r="E273" s="2"/>
      <c r="F273" s="37">
        <f t="shared" si="25"/>
        <v>0.5</v>
      </c>
      <c r="G273" s="2"/>
      <c r="H273" s="12">
        <f t="shared" si="26"/>
        <v>2000</v>
      </c>
      <c r="I273" s="2"/>
      <c r="J273" s="12">
        <v>4000</v>
      </c>
      <c r="K273" s="2"/>
      <c r="L273" t="s">
        <v>370</v>
      </c>
      <c r="M273" t="s">
        <v>457</v>
      </c>
      <c r="N273" t="s">
        <v>462</v>
      </c>
    </row>
    <row r="274" spans="1:14" x14ac:dyDescent="0.25">
      <c r="A274" t="s">
        <v>167</v>
      </c>
      <c r="B274" t="s">
        <v>40</v>
      </c>
      <c r="C274" t="s">
        <v>41</v>
      </c>
      <c r="D274" s="47">
        <v>420</v>
      </c>
      <c r="E274" s="2"/>
      <c r="F274" s="37">
        <f t="shared" si="25"/>
        <v>0</v>
      </c>
      <c r="G274" s="2"/>
      <c r="H274" s="12">
        <f t="shared" si="26"/>
        <v>0</v>
      </c>
      <c r="I274" s="2"/>
      <c r="J274" s="12">
        <v>420</v>
      </c>
      <c r="K274" s="2"/>
      <c r="M274" t="s">
        <v>457</v>
      </c>
      <c r="N274" t="s">
        <v>462</v>
      </c>
    </row>
    <row r="275" spans="1:14" x14ac:dyDescent="0.25">
      <c r="A275" t="s">
        <v>167</v>
      </c>
      <c r="B275" t="s">
        <v>155</v>
      </c>
      <c r="C275" t="s">
        <v>156</v>
      </c>
      <c r="D275" s="47">
        <v>5000</v>
      </c>
      <c r="E275" s="2"/>
      <c r="F275" s="37">
        <f t="shared" si="25"/>
        <v>0</v>
      </c>
      <c r="G275" s="2"/>
      <c r="H275" s="12">
        <f t="shared" si="26"/>
        <v>0</v>
      </c>
      <c r="I275" s="2"/>
      <c r="J275" s="12">
        <v>5000</v>
      </c>
      <c r="K275" s="2"/>
      <c r="M275" t="s">
        <v>457</v>
      </c>
      <c r="N275" t="s">
        <v>462</v>
      </c>
    </row>
    <row r="276" spans="1:14" x14ac:dyDescent="0.25">
      <c r="A276" t="s">
        <v>167</v>
      </c>
      <c r="B276" t="s">
        <v>169</v>
      </c>
      <c r="C276" t="s">
        <v>170</v>
      </c>
      <c r="D276" s="47">
        <v>6200</v>
      </c>
      <c r="E276" s="2"/>
      <c r="F276" s="37">
        <f t="shared" si="25"/>
        <v>0</v>
      </c>
      <c r="G276" s="2"/>
      <c r="H276" s="12">
        <f t="shared" si="26"/>
        <v>0</v>
      </c>
      <c r="I276" s="2"/>
      <c r="J276" s="12">
        <v>6200</v>
      </c>
      <c r="K276" s="2"/>
      <c r="M276" t="s">
        <v>457</v>
      </c>
      <c r="N276" t="s">
        <v>463</v>
      </c>
    </row>
    <row r="277" spans="1:14" x14ac:dyDescent="0.25">
      <c r="A277" t="s">
        <v>167</v>
      </c>
      <c r="B277" t="s">
        <v>85</v>
      </c>
      <c r="C277" t="s">
        <v>86</v>
      </c>
      <c r="D277" s="47">
        <v>2400</v>
      </c>
      <c r="E277" s="2"/>
      <c r="F277" s="37">
        <f t="shared" si="25"/>
        <v>0.22137404580152673</v>
      </c>
      <c r="G277" s="2"/>
      <c r="H277" s="12">
        <f t="shared" si="26"/>
        <v>435</v>
      </c>
      <c r="I277" s="2"/>
      <c r="J277" s="12">
        <v>1965</v>
      </c>
      <c r="K277" s="2"/>
      <c r="M277" t="s">
        <v>457</v>
      </c>
      <c r="N277" t="s">
        <v>463</v>
      </c>
    </row>
    <row r="278" spans="1:14" x14ac:dyDescent="0.25">
      <c r="A278" t="s">
        <v>167</v>
      </c>
      <c r="B278" t="s">
        <v>157</v>
      </c>
      <c r="C278" t="s">
        <v>158</v>
      </c>
      <c r="D278" s="47">
        <v>8420</v>
      </c>
      <c r="E278" s="2"/>
      <c r="F278" s="37">
        <f t="shared" si="25"/>
        <v>0.60687022900763354</v>
      </c>
      <c r="G278" s="2"/>
      <c r="H278" s="12">
        <f t="shared" si="26"/>
        <v>3180</v>
      </c>
      <c r="I278" s="2"/>
      <c r="J278" s="12">
        <v>5240</v>
      </c>
      <c r="K278" s="2"/>
      <c r="M278" t="s">
        <v>457</v>
      </c>
      <c r="N278" t="s">
        <v>463</v>
      </c>
    </row>
    <row r="279" spans="1:14" x14ac:dyDescent="0.25">
      <c r="A279" t="s">
        <v>167</v>
      </c>
      <c r="B279" t="s">
        <v>159</v>
      </c>
      <c r="C279" t="s">
        <v>160</v>
      </c>
      <c r="D279" s="47">
        <v>4800</v>
      </c>
      <c r="E279" s="2"/>
      <c r="F279" s="37">
        <f t="shared" si="25"/>
        <v>0.7142857142857143</v>
      </c>
      <c r="G279" s="2"/>
      <c r="H279" s="12">
        <f t="shared" si="26"/>
        <v>2000</v>
      </c>
      <c r="I279" s="2"/>
      <c r="J279" s="12">
        <v>2800</v>
      </c>
      <c r="K279" s="2"/>
      <c r="M279" t="s">
        <v>457</v>
      </c>
      <c r="N279" t="s">
        <v>463</v>
      </c>
    </row>
    <row r="280" spans="1:14" x14ac:dyDescent="0.25">
      <c r="A280" t="s">
        <v>167</v>
      </c>
      <c r="B280" t="s">
        <v>23</v>
      </c>
      <c r="C280" t="s">
        <v>24</v>
      </c>
      <c r="D280" s="47">
        <v>7500</v>
      </c>
      <c r="E280" s="2"/>
      <c r="F280" s="37">
        <f t="shared" si="25"/>
        <v>0</v>
      </c>
      <c r="G280" s="2"/>
      <c r="H280" s="12">
        <f t="shared" si="26"/>
        <v>0</v>
      </c>
      <c r="I280" s="2"/>
      <c r="J280" s="12">
        <v>7500</v>
      </c>
      <c r="K280" s="2"/>
      <c r="M280" t="s">
        <v>457</v>
      </c>
      <c r="N280" t="s">
        <v>462</v>
      </c>
    </row>
    <row r="281" spans="1:14" x14ac:dyDescent="0.25">
      <c r="A281" t="s">
        <v>167</v>
      </c>
      <c r="B281" t="s">
        <v>44</v>
      </c>
      <c r="C281" t="s">
        <v>45</v>
      </c>
      <c r="D281" s="47">
        <v>150</v>
      </c>
      <c r="E281" s="2"/>
      <c r="F281" s="37">
        <f t="shared" si="25"/>
        <v>0</v>
      </c>
      <c r="G281" s="2"/>
      <c r="H281" s="12">
        <f t="shared" si="26"/>
        <v>0</v>
      </c>
      <c r="I281" s="2"/>
      <c r="J281" s="12">
        <v>150</v>
      </c>
      <c r="K281" s="2"/>
      <c r="M281" t="s">
        <v>457</v>
      </c>
      <c r="N281" t="s">
        <v>462</v>
      </c>
    </row>
    <row r="282" spans="1:14" x14ac:dyDescent="0.25">
      <c r="A282" t="s">
        <v>167</v>
      </c>
      <c r="B282" t="s">
        <v>171</v>
      </c>
      <c r="C282" t="s">
        <v>172</v>
      </c>
      <c r="D282" s="47">
        <v>75000</v>
      </c>
      <c r="E282" s="2"/>
      <c r="F282" s="37">
        <f t="shared" si="25"/>
        <v>0</v>
      </c>
      <c r="G282" s="2"/>
      <c r="H282" s="12">
        <f t="shared" si="26"/>
        <v>0</v>
      </c>
      <c r="I282" s="2"/>
      <c r="J282" s="12">
        <v>75000</v>
      </c>
      <c r="K282" s="2"/>
      <c r="M282" t="s">
        <v>457</v>
      </c>
      <c r="N282" t="s">
        <v>465</v>
      </c>
    </row>
    <row r="283" spans="1:14" x14ac:dyDescent="0.25">
      <c r="A283" t="s">
        <v>167</v>
      </c>
      <c r="B283" t="s">
        <v>121</v>
      </c>
      <c r="C283" t="s">
        <v>173</v>
      </c>
      <c r="D283" s="47">
        <f>ROUNDUP((525*1.14),0)</f>
        <v>599</v>
      </c>
      <c r="E283" s="2"/>
      <c r="F283" s="37">
        <f t="shared" si="25"/>
        <v>0.14095238095238094</v>
      </c>
      <c r="G283" s="2"/>
      <c r="H283" s="12">
        <f t="shared" si="26"/>
        <v>74</v>
      </c>
      <c r="I283" s="2"/>
      <c r="J283" s="12">
        <v>525</v>
      </c>
      <c r="K283" s="2"/>
      <c r="M283" t="s">
        <v>457</v>
      </c>
      <c r="N283" t="s">
        <v>463</v>
      </c>
    </row>
    <row r="284" spans="1:14" x14ac:dyDescent="0.25">
      <c r="A284" t="s">
        <v>167</v>
      </c>
      <c r="B284" t="s">
        <v>123</v>
      </c>
      <c r="C284" t="s">
        <v>124</v>
      </c>
      <c r="D284" s="47">
        <v>2508</v>
      </c>
      <c r="E284" s="2"/>
      <c r="F284" s="37">
        <f t="shared" si="25"/>
        <v>0</v>
      </c>
      <c r="G284" s="2"/>
      <c r="H284" s="12">
        <f t="shared" si="26"/>
        <v>0</v>
      </c>
      <c r="I284" s="2"/>
      <c r="J284" s="12">
        <v>2508</v>
      </c>
      <c r="K284" s="2"/>
      <c r="M284" t="s">
        <v>457</v>
      </c>
      <c r="N284" t="s">
        <v>463</v>
      </c>
    </row>
    <row r="285" spans="1:14" x14ac:dyDescent="0.25">
      <c r="A285" t="s">
        <v>167</v>
      </c>
      <c r="B285" t="s">
        <v>125</v>
      </c>
      <c r="C285" t="s">
        <v>126</v>
      </c>
      <c r="D285" s="47">
        <f>ROUNDUP((360.88),0)</f>
        <v>361</v>
      </c>
      <c r="E285" s="2"/>
      <c r="F285" s="37">
        <f t="shared" si="25"/>
        <v>4.0345821325648415E-2</v>
      </c>
      <c r="G285" s="2"/>
      <c r="H285" s="12">
        <f t="shared" si="26"/>
        <v>14</v>
      </c>
      <c r="I285" s="2"/>
      <c r="J285" s="12">
        <v>347</v>
      </c>
      <c r="K285" s="2"/>
      <c r="M285" t="s">
        <v>457</v>
      </c>
      <c r="N285" t="s">
        <v>463</v>
      </c>
    </row>
    <row r="286" spans="1:14" x14ac:dyDescent="0.25">
      <c r="A286" t="s">
        <v>167</v>
      </c>
      <c r="B286" t="s">
        <v>69</v>
      </c>
      <c r="C286" t="s">
        <v>70</v>
      </c>
      <c r="D286" s="47">
        <v>40000</v>
      </c>
      <c r="E286" s="2"/>
      <c r="F286" s="37">
        <f t="shared" si="25"/>
        <v>0.6</v>
      </c>
      <c r="G286" s="2"/>
      <c r="H286" s="12">
        <f t="shared" si="26"/>
        <v>15000</v>
      </c>
      <c r="I286" s="2"/>
      <c r="J286" s="12">
        <v>25000</v>
      </c>
      <c r="K286" s="2"/>
      <c r="M286" t="s">
        <v>457</v>
      </c>
      <c r="N286" t="s">
        <v>463</v>
      </c>
    </row>
    <row r="287" spans="1:14" x14ac:dyDescent="0.25">
      <c r="A287" t="s">
        <v>167</v>
      </c>
      <c r="B287" t="s">
        <v>174</v>
      </c>
      <c r="C287" t="s">
        <v>175</v>
      </c>
      <c r="D287" s="47">
        <v>16878</v>
      </c>
      <c r="E287" s="2"/>
      <c r="F287" s="37">
        <f t="shared" si="25"/>
        <v>0.22127351664254705</v>
      </c>
      <c r="G287" s="2"/>
      <c r="H287" s="12">
        <f t="shared" si="26"/>
        <v>3058</v>
      </c>
      <c r="I287" s="2"/>
      <c r="J287" s="12">
        <v>13820</v>
      </c>
      <c r="K287" s="2"/>
      <c r="L287" t="s">
        <v>429</v>
      </c>
      <c r="M287" t="s">
        <v>457</v>
      </c>
      <c r="N287" t="s">
        <v>463</v>
      </c>
    </row>
    <row r="288" spans="1:14" x14ac:dyDescent="0.25">
      <c r="A288" t="s">
        <v>167</v>
      </c>
      <c r="B288" t="s">
        <v>176</v>
      </c>
      <c r="C288" t="s">
        <v>177</v>
      </c>
      <c r="D288" s="47">
        <v>3500</v>
      </c>
      <c r="E288" s="2"/>
      <c r="F288" s="37">
        <f t="shared" si="25"/>
        <v>0.16666666666666666</v>
      </c>
      <c r="G288" s="2"/>
      <c r="H288" s="12">
        <f t="shared" si="26"/>
        <v>500</v>
      </c>
      <c r="I288" s="2"/>
      <c r="J288" s="12">
        <v>3000</v>
      </c>
      <c r="K288" s="2"/>
      <c r="M288" t="s">
        <v>457</v>
      </c>
      <c r="N288" t="s">
        <v>463</v>
      </c>
    </row>
    <row r="289" spans="1:14" x14ac:dyDescent="0.25">
      <c r="A289" t="s">
        <v>167</v>
      </c>
      <c r="B289" t="s">
        <v>178</v>
      </c>
      <c r="C289" t="s">
        <v>179</v>
      </c>
      <c r="D289" s="47">
        <v>2500</v>
      </c>
      <c r="E289" s="2"/>
      <c r="F289" s="37">
        <f t="shared" si="25"/>
        <v>0</v>
      </c>
      <c r="G289" s="2"/>
      <c r="H289" s="12">
        <f t="shared" si="26"/>
        <v>0</v>
      </c>
      <c r="I289" s="2"/>
      <c r="J289" s="12">
        <v>2500</v>
      </c>
      <c r="K289" s="2"/>
      <c r="M289" t="s">
        <v>457</v>
      </c>
      <c r="N289" t="s">
        <v>463</v>
      </c>
    </row>
    <row r="290" spans="1:14" x14ac:dyDescent="0.25">
      <c r="A290" t="s">
        <v>167</v>
      </c>
      <c r="B290" t="s">
        <v>180</v>
      </c>
      <c r="C290" t="s">
        <v>181</v>
      </c>
      <c r="D290" s="47">
        <v>40900</v>
      </c>
      <c r="E290" s="2"/>
      <c r="F290" s="37">
        <f t="shared" si="25"/>
        <v>-4.9875717239296583E-2</v>
      </c>
      <c r="G290" s="2"/>
      <c r="H290" s="12">
        <f t="shared" si="26"/>
        <v>-2147</v>
      </c>
      <c r="I290" s="2"/>
      <c r="J290" s="12">
        <v>43047</v>
      </c>
      <c r="K290" s="2"/>
      <c r="M290" t="s">
        <v>457</v>
      </c>
      <c r="N290" t="s">
        <v>465</v>
      </c>
    </row>
    <row r="291" spans="1:14" x14ac:dyDescent="0.25">
      <c r="A291" t="s">
        <v>167</v>
      </c>
      <c r="B291" t="s">
        <v>182</v>
      </c>
      <c r="C291" t="s">
        <v>183</v>
      </c>
      <c r="D291" s="47">
        <v>12000</v>
      </c>
      <c r="E291" s="2"/>
      <c r="F291" s="37">
        <f t="shared" si="25"/>
        <v>6.1946902654867256E-2</v>
      </c>
      <c r="G291" s="2"/>
      <c r="H291" s="12">
        <f t="shared" si="26"/>
        <v>700</v>
      </c>
      <c r="I291" s="2"/>
      <c r="J291" s="12">
        <v>11300</v>
      </c>
      <c r="K291" s="2"/>
      <c r="M291" t="s">
        <v>457</v>
      </c>
      <c r="N291" t="s">
        <v>465</v>
      </c>
    </row>
    <row r="292" spans="1:14" x14ac:dyDescent="0.25">
      <c r="A292" t="s">
        <v>167</v>
      </c>
      <c r="B292" t="s">
        <v>71</v>
      </c>
      <c r="C292" t="s">
        <v>72</v>
      </c>
      <c r="D292" s="47">
        <v>28600</v>
      </c>
      <c r="E292" s="2"/>
      <c r="F292" s="37">
        <f t="shared" si="25"/>
        <v>-0.33949191685912239</v>
      </c>
      <c r="G292" s="2"/>
      <c r="H292" s="12">
        <f t="shared" si="26"/>
        <v>-14700</v>
      </c>
      <c r="I292" s="2"/>
      <c r="J292" s="12">
        <v>43300</v>
      </c>
      <c r="K292" s="2"/>
      <c r="M292" t="s">
        <v>457</v>
      </c>
      <c r="N292" t="s">
        <v>465</v>
      </c>
    </row>
    <row r="293" spans="1:14" x14ac:dyDescent="0.25">
      <c r="D293" s="2"/>
      <c r="E293" s="2"/>
      <c r="F293" s="2"/>
      <c r="G293" s="2"/>
      <c r="H293" s="2"/>
      <c r="I293" s="2"/>
      <c r="K293" s="2"/>
    </row>
    <row r="294" spans="1:14" x14ac:dyDescent="0.25">
      <c r="A294" t="s">
        <v>5</v>
      </c>
      <c r="B294" t="s">
        <v>5</v>
      </c>
      <c r="C294" s="1" t="s">
        <v>367</v>
      </c>
      <c r="D294" s="8">
        <f>SUM(D262:D292)</f>
        <v>1008541.8069999999</v>
      </c>
      <c r="E294" s="2"/>
      <c r="F294" s="15">
        <f>H294/J294</f>
        <v>0.34764050022983101</v>
      </c>
      <c r="G294" s="2"/>
      <c r="H294" s="8">
        <f>SUM(H262:H292)</f>
        <v>260165.80700000003</v>
      </c>
      <c r="I294" s="2"/>
      <c r="J294" s="8">
        <f>SUM(J262:J292)</f>
        <v>748376</v>
      </c>
      <c r="K294" s="2"/>
    </row>
    <row r="295" spans="1:14" x14ac:dyDescent="0.25">
      <c r="D295" s="2"/>
      <c r="E295" s="2"/>
      <c r="F295" s="2"/>
      <c r="G295" s="2"/>
      <c r="H295" s="2"/>
      <c r="I295" s="2"/>
      <c r="K295" s="2"/>
    </row>
    <row r="296" spans="1:14" x14ac:dyDescent="0.25">
      <c r="A296" t="s">
        <v>184</v>
      </c>
      <c r="B296" t="s">
        <v>185</v>
      </c>
      <c r="C296" t="s">
        <v>186</v>
      </c>
      <c r="D296" s="47">
        <f>ROUNDUP((340609.72),0)</f>
        <v>340610</v>
      </c>
      <c r="E296" s="2"/>
      <c r="F296" s="37">
        <f>H296/J296</f>
        <v>1.7879609236552938E-2</v>
      </c>
      <c r="G296" s="2"/>
      <c r="H296" s="12">
        <f t="shared" ref="H296:H301" si="27">D296-J296</f>
        <v>5983</v>
      </c>
      <c r="I296" s="2"/>
      <c r="J296" s="12">
        <v>334627</v>
      </c>
      <c r="K296" s="2"/>
      <c r="M296" t="s">
        <v>457</v>
      </c>
      <c r="N296" t="s">
        <v>464</v>
      </c>
    </row>
    <row r="297" spans="1:14" x14ac:dyDescent="0.25">
      <c r="A297" t="s">
        <v>184</v>
      </c>
      <c r="B297" t="s">
        <v>30</v>
      </c>
      <c r="C297" t="s">
        <v>31</v>
      </c>
      <c r="D297" s="47">
        <f>ROUNDUP((1657.68),0)</f>
        <v>1658</v>
      </c>
      <c r="E297" s="2"/>
      <c r="F297" s="37">
        <f>H297/J297</f>
        <v>3.0453697949036667E-2</v>
      </c>
      <c r="G297" s="2"/>
      <c r="H297" s="12">
        <f t="shared" si="27"/>
        <v>49</v>
      </c>
      <c r="I297" s="2"/>
      <c r="J297" s="12">
        <v>1609</v>
      </c>
      <c r="K297" s="2"/>
      <c r="M297" t="s">
        <v>457</v>
      </c>
      <c r="N297" t="s">
        <v>462</v>
      </c>
    </row>
    <row r="298" spans="1:14" x14ac:dyDescent="0.25">
      <c r="A298" t="s">
        <v>184</v>
      </c>
      <c r="B298" t="s">
        <v>34</v>
      </c>
      <c r="C298" t="s">
        <v>35</v>
      </c>
      <c r="D298" s="47">
        <f>ROUNDUP((8.12),0)</f>
        <v>9</v>
      </c>
      <c r="E298" s="2"/>
      <c r="F298" s="37">
        <f>H298/J298</f>
        <v>-0.1</v>
      </c>
      <c r="G298" s="2"/>
      <c r="H298" s="12">
        <f t="shared" si="27"/>
        <v>-1</v>
      </c>
      <c r="I298" s="2"/>
      <c r="J298" s="12">
        <v>10</v>
      </c>
      <c r="K298" s="2"/>
      <c r="M298" t="s">
        <v>457</v>
      </c>
      <c r="N298" t="s">
        <v>462</v>
      </c>
    </row>
    <row r="299" spans="1:14" x14ac:dyDescent="0.25">
      <c r="A299" t="s">
        <v>184</v>
      </c>
      <c r="B299" t="s">
        <v>9</v>
      </c>
      <c r="C299" t="s">
        <v>10</v>
      </c>
      <c r="D299" s="47">
        <f>ROUNDUP((55.45),0)</f>
        <v>56</v>
      </c>
      <c r="E299" s="2"/>
      <c r="F299" s="37">
        <f>H299/J299</f>
        <v>-1.7543859649122806E-2</v>
      </c>
      <c r="G299" s="2"/>
      <c r="H299" s="12">
        <f t="shared" si="27"/>
        <v>-1</v>
      </c>
      <c r="I299" s="2"/>
      <c r="J299" s="12">
        <v>57</v>
      </c>
      <c r="K299" s="2"/>
      <c r="M299" t="s">
        <v>457</v>
      </c>
      <c r="N299" t="s">
        <v>462</v>
      </c>
    </row>
    <row r="300" spans="1:14" x14ac:dyDescent="0.25">
      <c r="A300" t="s">
        <v>184</v>
      </c>
      <c r="B300" s="20" t="s">
        <v>36</v>
      </c>
      <c r="C300" t="s">
        <v>430</v>
      </c>
      <c r="D300" s="47">
        <f>ROUNDUP((169.08),0)</f>
        <v>170</v>
      </c>
      <c r="E300" s="2"/>
      <c r="F300" s="37">
        <v>1</v>
      </c>
      <c r="G300" s="2"/>
      <c r="H300" s="12">
        <f t="shared" si="27"/>
        <v>170</v>
      </c>
      <c r="I300" s="2"/>
      <c r="J300" s="12">
        <v>0</v>
      </c>
      <c r="K300" s="2"/>
      <c r="M300" t="s">
        <v>457</v>
      </c>
      <c r="N300" t="s">
        <v>462</v>
      </c>
    </row>
    <row r="301" spans="1:14" x14ac:dyDescent="0.25">
      <c r="A301" t="s">
        <v>184</v>
      </c>
      <c r="B301" t="s">
        <v>11</v>
      </c>
      <c r="C301" t="s">
        <v>12</v>
      </c>
      <c r="D301" s="47">
        <f>ROUNDUP((126.81),0)</f>
        <v>127</v>
      </c>
      <c r="E301" s="2"/>
      <c r="F301" s="37">
        <f>H301/J301</f>
        <v>3.2520325203252036E-2</v>
      </c>
      <c r="G301" s="2"/>
      <c r="H301" s="12">
        <f t="shared" si="27"/>
        <v>4</v>
      </c>
      <c r="I301" s="2"/>
      <c r="J301" s="12">
        <v>123</v>
      </c>
      <c r="K301" s="2"/>
      <c r="M301" t="s">
        <v>457</v>
      </c>
      <c r="N301" t="s">
        <v>462</v>
      </c>
    </row>
    <row r="302" spans="1:14" x14ac:dyDescent="0.25">
      <c r="D302" s="2"/>
      <c r="E302" s="2"/>
      <c r="F302" s="2"/>
      <c r="G302" s="2"/>
      <c r="H302" s="2"/>
      <c r="I302" s="2"/>
      <c r="K302" s="2"/>
    </row>
    <row r="303" spans="1:14" x14ac:dyDescent="0.25">
      <c r="A303" t="s">
        <v>5</v>
      </c>
      <c r="B303" t="s">
        <v>5</v>
      </c>
      <c r="C303" s="1" t="s">
        <v>371</v>
      </c>
      <c r="D303" s="8">
        <f>SUM(D296:D301)</f>
        <v>342630</v>
      </c>
      <c r="E303" s="2"/>
      <c r="F303" s="15">
        <f>H303/J303</f>
        <v>1.8440905280804692E-2</v>
      </c>
      <c r="G303" s="2"/>
      <c r="H303" s="8">
        <f>SUM(H296:H301)</f>
        <v>6204</v>
      </c>
      <c r="I303" s="2"/>
      <c r="J303" s="8">
        <v>336426</v>
      </c>
      <c r="K303" s="2"/>
    </row>
    <row r="304" spans="1:14" x14ac:dyDescent="0.25">
      <c r="D304" s="2"/>
      <c r="E304" s="2"/>
      <c r="F304" s="2"/>
      <c r="G304" s="2"/>
      <c r="H304" s="2"/>
      <c r="I304" s="2"/>
      <c r="K304" s="2"/>
    </row>
    <row r="305" spans="1:14" x14ac:dyDescent="0.25">
      <c r="A305" t="s">
        <v>187</v>
      </c>
      <c r="B305" t="s">
        <v>30</v>
      </c>
      <c r="C305" t="s">
        <v>31</v>
      </c>
      <c r="D305" s="47">
        <f>ROUNDUP((56778.58),0)</f>
        <v>56779</v>
      </c>
      <c r="E305" s="2"/>
      <c r="F305" s="37">
        <f t="shared" ref="F305:F320" si="28">H305/J305</f>
        <v>3.0004535147392292E-2</v>
      </c>
      <c r="G305" s="2"/>
      <c r="H305" s="12">
        <f t="shared" ref="H305:H321" si="29">D305-J305</f>
        <v>1654</v>
      </c>
      <c r="I305" s="2"/>
      <c r="J305" s="12">
        <v>55125</v>
      </c>
      <c r="K305" s="2"/>
      <c r="L305" t="s">
        <v>355</v>
      </c>
      <c r="M305" t="s">
        <v>457</v>
      </c>
      <c r="N305" t="s">
        <v>462</v>
      </c>
    </row>
    <row r="306" spans="1:14" x14ac:dyDescent="0.25">
      <c r="A306" t="s">
        <v>187</v>
      </c>
      <c r="B306" t="s">
        <v>61</v>
      </c>
      <c r="C306" t="s">
        <v>75</v>
      </c>
      <c r="D306" s="47">
        <v>2160</v>
      </c>
      <c r="E306" s="2"/>
      <c r="F306" s="37">
        <f t="shared" si="28"/>
        <v>0</v>
      </c>
      <c r="G306" s="2"/>
      <c r="H306" s="12">
        <f t="shared" si="29"/>
        <v>0</v>
      </c>
      <c r="I306" s="2"/>
      <c r="J306" s="12">
        <v>2160</v>
      </c>
      <c r="K306" s="2"/>
      <c r="M306" t="s">
        <v>457</v>
      </c>
      <c r="N306" t="s">
        <v>462</v>
      </c>
    </row>
    <row r="307" spans="1:14" x14ac:dyDescent="0.25">
      <c r="A307" t="s">
        <v>187</v>
      </c>
      <c r="B307" t="s">
        <v>34</v>
      </c>
      <c r="C307" t="s">
        <v>35</v>
      </c>
      <c r="D307" s="47">
        <f>ROUNDUP((85.7),0)</f>
        <v>86</v>
      </c>
      <c r="E307" s="2"/>
      <c r="F307" s="37">
        <f t="shared" si="28"/>
        <v>-0.23214285714285715</v>
      </c>
      <c r="G307" s="2"/>
      <c r="H307" s="12">
        <f t="shared" si="29"/>
        <v>-26</v>
      </c>
      <c r="I307" s="2"/>
      <c r="J307" s="12">
        <v>112</v>
      </c>
      <c r="K307" s="2"/>
      <c r="M307" t="s">
        <v>457</v>
      </c>
      <c r="N307" t="s">
        <v>462</v>
      </c>
    </row>
    <row r="308" spans="1:14" x14ac:dyDescent="0.25">
      <c r="A308" t="s">
        <v>187</v>
      </c>
      <c r="B308" t="s">
        <v>9</v>
      </c>
      <c r="C308" t="s">
        <v>10</v>
      </c>
      <c r="D308" s="47">
        <f>ROUNDUP((1047.07),0)</f>
        <v>1048</v>
      </c>
      <c r="E308" s="2"/>
      <c r="F308" s="37">
        <f t="shared" si="28"/>
        <v>0.1868629671574179</v>
      </c>
      <c r="G308" s="2"/>
      <c r="H308" s="12">
        <f t="shared" si="29"/>
        <v>165</v>
      </c>
      <c r="I308" s="2"/>
      <c r="J308" s="12">
        <v>883</v>
      </c>
      <c r="K308" s="2"/>
      <c r="M308" t="s">
        <v>457</v>
      </c>
      <c r="N308" t="s">
        <v>462</v>
      </c>
    </row>
    <row r="309" spans="1:14" x14ac:dyDescent="0.25">
      <c r="A309" t="s">
        <v>187</v>
      </c>
      <c r="B309" t="s">
        <v>36</v>
      </c>
      <c r="C309" t="s">
        <v>37</v>
      </c>
      <c r="D309" s="47">
        <f>ROUNDUP((5791.41),0)</f>
        <v>5792</v>
      </c>
      <c r="E309" s="2"/>
      <c r="F309" s="37">
        <f t="shared" si="28"/>
        <v>2.0257178087017789E-2</v>
      </c>
      <c r="G309" s="2"/>
      <c r="H309" s="12">
        <f t="shared" si="29"/>
        <v>115</v>
      </c>
      <c r="I309" s="2"/>
      <c r="J309" s="12">
        <v>5677</v>
      </c>
      <c r="K309" s="2"/>
      <c r="M309" t="s">
        <v>457</v>
      </c>
      <c r="N309" t="s">
        <v>462</v>
      </c>
    </row>
    <row r="310" spans="1:14" x14ac:dyDescent="0.25">
      <c r="A310" t="s">
        <v>187</v>
      </c>
      <c r="B310" t="s">
        <v>38</v>
      </c>
      <c r="C310" t="s">
        <v>39</v>
      </c>
      <c r="D310" s="47">
        <f>ROUNDUP((27269.05),0)</f>
        <v>27270</v>
      </c>
      <c r="E310" s="2"/>
      <c r="F310" s="37">
        <f t="shared" si="28"/>
        <v>9.7295992274263637E-2</v>
      </c>
      <c r="G310" s="2"/>
      <c r="H310" s="12">
        <f t="shared" si="29"/>
        <v>2418</v>
      </c>
      <c r="I310" s="2"/>
      <c r="J310" s="12">
        <v>24852</v>
      </c>
      <c r="K310" s="2"/>
      <c r="M310" t="s">
        <v>457</v>
      </c>
      <c r="N310" t="s">
        <v>462</v>
      </c>
    </row>
    <row r="311" spans="1:14" x14ac:dyDescent="0.25">
      <c r="A311" t="s">
        <v>187</v>
      </c>
      <c r="B311" t="s">
        <v>11</v>
      </c>
      <c r="C311" t="s">
        <v>12</v>
      </c>
      <c r="D311" s="47">
        <f>ROUNDUP((4508.8),0)</f>
        <v>4509</v>
      </c>
      <c r="E311" s="2"/>
      <c r="F311" s="37">
        <f t="shared" si="28"/>
        <v>2.898219990871748E-2</v>
      </c>
      <c r="G311" s="2"/>
      <c r="H311" s="12">
        <f t="shared" si="29"/>
        <v>127</v>
      </c>
      <c r="I311" s="2"/>
      <c r="J311" s="12">
        <v>4382</v>
      </c>
      <c r="K311" s="2"/>
      <c r="M311" t="s">
        <v>457</v>
      </c>
      <c r="N311" t="s">
        <v>462</v>
      </c>
    </row>
    <row r="312" spans="1:14" x14ac:dyDescent="0.25">
      <c r="A312" t="s">
        <v>187</v>
      </c>
      <c r="B312" t="s">
        <v>15</v>
      </c>
      <c r="C312" t="s">
        <v>16</v>
      </c>
      <c r="D312" s="47">
        <v>1000</v>
      </c>
      <c r="E312" s="2"/>
      <c r="F312" s="37">
        <f t="shared" si="28"/>
        <v>0</v>
      </c>
      <c r="G312" s="2"/>
      <c r="H312" s="12">
        <f t="shared" si="29"/>
        <v>0</v>
      </c>
      <c r="I312" s="2"/>
      <c r="J312" s="12">
        <v>1000</v>
      </c>
      <c r="K312" s="2"/>
      <c r="M312" t="s">
        <v>457</v>
      </c>
      <c r="N312" t="s">
        <v>463</v>
      </c>
    </row>
    <row r="313" spans="1:14" x14ac:dyDescent="0.25">
      <c r="A313" t="s">
        <v>187</v>
      </c>
      <c r="B313" t="s">
        <v>153</v>
      </c>
      <c r="C313" t="s">
        <v>154</v>
      </c>
      <c r="D313" s="47">
        <v>600</v>
      </c>
      <c r="E313" s="2"/>
      <c r="F313" s="37">
        <f t="shared" si="28"/>
        <v>0</v>
      </c>
      <c r="G313" s="2"/>
      <c r="H313" s="12">
        <f t="shared" si="29"/>
        <v>0</v>
      </c>
      <c r="I313" s="2"/>
      <c r="J313" s="12">
        <v>600</v>
      </c>
      <c r="K313" s="2"/>
      <c r="M313" t="s">
        <v>457</v>
      </c>
      <c r="N313" t="s">
        <v>462</v>
      </c>
    </row>
    <row r="314" spans="1:14" x14ac:dyDescent="0.25">
      <c r="A314" t="s">
        <v>187</v>
      </c>
      <c r="B314" t="s">
        <v>40</v>
      </c>
      <c r="C314" t="s">
        <v>41</v>
      </c>
      <c r="D314" s="47">
        <v>720</v>
      </c>
      <c r="E314" s="2"/>
      <c r="F314" s="37">
        <f t="shared" si="28"/>
        <v>0.152</v>
      </c>
      <c r="G314" s="2"/>
      <c r="H314" s="12">
        <f t="shared" si="29"/>
        <v>95</v>
      </c>
      <c r="I314" s="2"/>
      <c r="J314" s="12">
        <v>625</v>
      </c>
      <c r="K314" s="2"/>
      <c r="M314" t="s">
        <v>457</v>
      </c>
      <c r="N314" t="s">
        <v>462</v>
      </c>
    </row>
    <row r="315" spans="1:14" x14ac:dyDescent="0.25">
      <c r="A315" t="s">
        <v>187</v>
      </c>
      <c r="B315" t="s">
        <v>85</v>
      </c>
      <c r="C315" t="s">
        <v>86</v>
      </c>
      <c r="D315" s="47">
        <v>3968</v>
      </c>
      <c r="E315" s="2"/>
      <c r="F315" s="37">
        <f t="shared" si="28"/>
        <v>0</v>
      </c>
      <c r="G315" s="2"/>
      <c r="H315" s="12">
        <f t="shared" si="29"/>
        <v>0</v>
      </c>
      <c r="I315" s="2"/>
      <c r="J315" s="12">
        <v>3968</v>
      </c>
      <c r="K315" s="2"/>
      <c r="M315" t="s">
        <v>457</v>
      </c>
      <c r="N315" t="s">
        <v>463</v>
      </c>
    </row>
    <row r="316" spans="1:14" x14ac:dyDescent="0.25">
      <c r="A316" t="s">
        <v>187</v>
      </c>
      <c r="B316" t="s">
        <v>159</v>
      </c>
      <c r="C316" t="s">
        <v>160</v>
      </c>
      <c r="D316" s="47">
        <v>700</v>
      </c>
      <c r="E316" s="2"/>
      <c r="F316" s="37">
        <f t="shared" si="28"/>
        <v>0</v>
      </c>
      <c r="G316" s="2"/>
      <c r="H316" s="12">
        <f t="shared" si="29"/>
        <v>0</v>
      </c>
      <c r="I316" s="2"/>
      <c r="J316" s="12">
        <v>700</v>
      </c>
      <c r="K316" s="2"/>
      <c r="M316" t="s">
        <v>457</v>
      </c>
      <c r="N316" t="s">
        <v>463</v>
      </c>
    </row>
    <row r="317" spans="1:14" x14ac:dyDescent="0.25">
      <c r="A317" t="s">
        <v>187</v>
      </c>
      <c r="B317" t="s">
        <v>23</v>
      </c>
      <c r="C317" t="s">
        <v>24</v>
      </c>
      <c r="D317" s="47">
        <v>400</v>
      </c>
      <c r="E317" s="2"/>
      <c r="F317" s="37">
        <f t="shared" si="28"/>
        <v>0</v>
      </c>
      <c r="G317" s="2"/>
      <c r="H317" s="12">
        <f t="shared" si="29"/>
        <v>0</v>
      </c>
      <c r="I317" s="2"/>
      <c r="J317" s="12">
        <v>400</v>
      </c>
      <c r="K317" s="2"/>
      <c r="M317" t="s">
        <v>457</v>
      </c>
      <c r="N317" t="s">
        <v>462</v>
      </c>
    </row>
    <row r="318" spans="1:14" x14ac:dyDescent="0.25">
      <c r="A318" t="s">
        <v>187</v>
      </c>
      <c r="B318" t="s">
        <v>188</v>
      </c>
      <c r="C318" t="s">
        <v>189</v>
      </c>
      <c r="D318" s="47">
        <v>14761</v>
      </c>
      <c r="E318" s="2"/>
      <c r="F318" s="37">
        <f t="shared" si="28"/>
        <v>4.8292024714153822E-2</v>
      </c>
      <c r="G318" s="2"/>
      <c r="H318" s="12">
        <f t="shared" si="29"/>
        <v>680</v>
      </c>
      <c r="I318" s="2"/>
      <c r="J318" s="12">
        <v>14081</v>
      </c>
      <c r="K318" s="2"/>
      <c r="M318" t="s">
        <v>457</v>
      </c>
      <c r="N318" t="s">
        <v>464</v>
      </c>
    </row>
    <row r="319" spans="1:14" x14ac:dyDescent="0.25">
      <c r="A319" t="s">
        <v>187</v>
      </c>
      <c r="B319" t="s">
        <v>69</v>
      </c>
      <c r="C319" t="s">
        <v>70</v>
      </c>
      <c r="D319" s="47">
        <v>2000</v>
      </c>
      <c r="E319" s="2"/>
      <c r="F319" s="37">
        <f t="shared" si="28"/>
        <v>1.1052631578947369</v>
      </c>
      <c r="G319" s="2"/>
      <c r="H319" s="12">
        <f t="shared" si="29"/>
        <v>1050</v>
      </c>
      <c r="I319" s="2"/>
      <c r="J319" s="12">
        <v>950</v>
      </c>
      <c r="K319" s="2"/>
      <c r="M319" t="s">
        <v>457</v>
      </c>
      <c r="N319" t="s">
        <v>463</v>
      </c>
    </row>
    <row r="320" spans="1:14" x14ac:dyDescent="0.25">
      <c r="A320" t="s">
        <v>187</v>
      </c>
      <c r="B320" t="s">
        <v>71</v>
      </c>
      <c r="C320" t="s">
        <v>72</v>
      </c>
      <c r="D320" s="47">
        <f>16500-16250</f>
        <v>250</v>
      </c>
      <c r="E320" s="2"/>
      <c r="F320" s="37">
        <f t="shared" si="28"/>
        <v>0</v>
      </c>
      <c r="G320" s="2"/>
      <c r="H320" s="12">
        <f t="shared" si="29"/>
        <v>0</v>
      </c>
      <c r="I320" s="2"/>
      <c r="J320" s="12">
        <v>250</v>
      </c>
      <c r="K320" s="2"/>
      <c r="L320" t="s">
        <v>437</v>
      </c>
      <c r="M320" t="s">
        <v>457</v>
      </c>
      <c r="N320" t="s">
        <v>465</v>
      </c>
    </row>
    <row r="321" spans="1:14" x14ac:dyDescent="0.25">
      <c r="A321" t="s">
        <v>187</v>
      </c>
      <c r="B321" s="20" t="s">
        <v>165</v>
      </c>
      <c r="C321" t="s">
        <v>374</v>
      </c>
      <c r="D321" s="47">
        <v>0</v>
      </c>
      <c r="E321" s="2"/>
      <c r="F321" s="37">
        <v>0</v>
      </c>
      <c r="G321" s="2"/>
      <c r="H321" s="12">
        <f t="shared" si="29"/>
        <v>0</v>
      </c>
      <c r="I321" s="2"/>
      <c r="J321" s="12">
        <v>0</v>
      </c>
      <c r="K321" s="2"/>
      <c r="L321" t="s">
        <v>436</v>
      </c>
      <c r="M321" t="s">
        <v>457</v>
      </c>
      <c r="N321" t="s">
        <v>465</v>
      </c>
    </row>
    <row r="322" spans="1:14" x14ac:dyDescent="0.25">
      <c r="D322" s="2"/>
      <c r="E322" s="2"/>
      <c r="F322" s="2"/>
      <c r="G322" s="2"/>
      <c r="H322" s="2"/>
      <c r="I322" s="2"/>
      <c r="K322" s="2"/>
    </row>
    <row r="323" spans="1:14" x14ac:dyDescent="0.25">
      <c r="A323" t="s">
        <v>5</v>
      </c>
      <c r="B323" t="s">
        <v>5</v>
      </c>
      <c r="C323" s="1" t="s">
        <v>372</v>
      </c>
      <c r="D323" s="8">
        <f>SUM(D305:D321)</f>
        <v>122043</v>
      </c>
      <c r="E323" s="2"/>
      <c r="F323" s="41">
        <f>H323/J323</f>
        <v>5.4230553276033343E-2</v>
      </c>
      <c r="G323" s="2"/>
      <c r="H323" s="8">
        <f>SUM(H305:H321)</f>
        <v>6278</v>
      </c>
      <c r="I323" s="2"/>
      <c r="J323" s="8">
        <f>SUM(J305:J321)</f>
        <v>115765</v>
      </c>
      <c r="K323" s="2"/>
    </row>
    <row r="324" spans="1:14" x14ac:dyDescent="0.25">
      <c r="D324" s="2"/>
      <c r="E324" s="2"/>
      <c r="F324" s="2"/>
      <c r="G324" s="2"/>
      <c r="H324" s="2"/>
      <c r="I324" s="2"/>
      <c r="K324" s="2"/>
    </row>
    <row r="325" spans="1:14" x14ac:dyDescent="0.25">
      <c r="A325" t="s">
        <v>190</v>
      </c>
      <c r="B325" t="s">
        <v>30</v>
      </c>
      <c r="C325" t="s">
        <v>31</v>
      </c>
      <c r="D325" s="47">
        <f>ROUNDUP((199285.86),0)</f>
        <v>199286</v>
      </c>
      <c r="E325" s="2"/>
      <c r="F325" s="37">
        <f t="shared" ref="F325:F341" si="30">H325/J325</f>
        <v>1.9454377106960706E-2</v>
      </c>
      <c r="G325" s="2"/>
      <c r="H325" s="12">
        <f t="shared" ref="H325:H341" si="31">D325-J325</f>
        <v>3803</v>
      </c>
      <c r="I325" s="2"/>
      <c r="J325" s="12">
        <v>195483</v>
      </c>
      <c r="K325" s="2"/>
      <c r="M325" t="s">
        <v>457</v>
      </c>
      <c r="N325" t="s">
        <v>462</v>
      </c>
    </row>
    <row r="326" spans="1:14" x14ac:dyDescent="0.25">
      <c r="A326" t="s">
        <v>190</v>
      </c>
      <c r="B326" t="s">
        <v>141</v>
      </c>
      <c r="C326" t="s">
        <v>142</v>
      </c>
      <c r="D326" s="47">
        <v>3500</v>
      </c>
      <c r="E326" s="2"/>
      <c r="F326" s="37">
        <f t="shared" si="30"/>
        <v>0</v>
      </c>
      <c r="G326" s="2"/>
      <c r="H326" s="12">
        <f t="shared" si="31"/>
        <v>0</v>
      </c>
      <c r="I326" s="2"/>
      <c r="J326" s="12">
        <v>3500</v>
      </c>
      <c r="K326" s="2"/>
      <c r="M326" t="s">
        <v>457</v>
      </c>
      <c r="N326" t="s">
        <v>462</v>
      </c>
    </row>
    <row r="327" spans="1:14" x14ac:dyDescent="0.25">
      <c r="A327" t="s">
        <v>190</v>
      </c>
      <c r="B327" t="s">
        <v>59</v>
      </c>
      <c r="C327" t="s">
        <v>60</v>
      </c>
      <c r="D327" s="47">
        <v>21630</v>
      </c>
      <c r="E327" s="2"/>
      <c r="F327" s="37">
        <f t="shared" si="30"/>
        <v>0</v>
      </c>
      <c r="G327" s="2"/>
      <c r="H327" s="12">
        <f t="shared" si="31"/>
        <v>0</v>
      </c>
      <c r="I327" s="2"/>
      <c r="J327" s="12">
        <v>21630</v>
      </c>
      <c r="K327" s="2"/>
      <c r="M327" t="s">
        <v>457</v>
      </c>
      <c r="N327" t="s">
        <v>462</v>
      </c>
    </row>
    <row r="328" spans="1:14" x14ac:dyDescent="0.25">
      <c r="A328" t="s">
        <v>190</v>
      </c>
      <c r="B328" t="s">
        <v>61</v>
      </c>
      <c r="C328" t="s">
        <v>62</v>
      </c>
      <c r="D328" s="47">
        <v>1350</v>
      </c>
      <c r="E328" s="2"/>
      <c r="F328" s="37">
        <f t="shared" si="30"/>
        <v>0</v>
      </c>
      <c r="G328" s="2"/>
      <c r="H328" s="12">
        <f t="shared" si="31"/>
        <v>0</v>
      </c>
      <c r="I328" s="2"/>
      <c r="J328" s="12">
        <v>1350</v>
      </c>
      <c r="K328" s="2"/>
      <c r="M328" t="s">
        <v>457</v>
      </c>
      <c r="N328" t="s">
        <v>462</v>
      </c>
    </row>
    <row r="329" spans="1:14" x14ac:dyDescent="0.25">
      <c r="A329" t="s">
        <v>190</v>
      </c>
      <c r="B329" t="s">
        <v>147</v>
      </c>
      <c r="C329" t="s">
        <v>148</v>
      </c>
      <c r="D329" s="47">
        <v>62325</v>
      </c>
      <c r="E329" s="2"/>
      <c r="F329" s="37">
        <f t="shared" si="30"/>
        <v>0.21019417475728155</v>
      </c>
      <c r="G329" s="2"/>
      <c r="H329" s="12">
        <f t="shared" si="31"/>
        <v>10825</v>
      </c>
      <c r="I329" s="2"/>
      <c r="J329" s="12">
        <v>51500</v>
      </c>
      <c r="K329" s="2"/>
      <c r="M329" t="s">
        <v>457</v>
      </c>
      <c r="N329" t="s">
        <v>462</v>
      </c>
    </row>
    <row r="330" spans="1:14" x14ac:dyDescent="0.25">
      <c r="A330" t="s">
        <v>190</v>
      </c>
      <c r="B330" t="s">
        <v>34</v>
      </c>
      <c r="C330" t="s">
        <v>35</v>
      </c>
      <c r="D330" s="47">
        <f>ROUNDUP((359.42),0)</f>
        <v>360</v>
      </c>
      <c r="E330" s="2"/>
      <c r="F330" s="37">
        <f t="shared" si="30"/>
        <v>0.20805369127516779</v>
      </c>
      <c r="G330" s="2"/>
      <c r="H330" s="12">
        <f t="shared" si="31"/>
        <v>62</v>
      </c>
      <c r="I330" s="2"/>
      <c r="J330" s="12">
        <v>298</v>
      </c>
      <c r="K330" s="2"/>
      <c r="M330" t="s">
        <v>457</v>
      </c>
      <c r="N330" t="s">
        <v>462</v>
      </c>
    </row>
    <row r="331" spans="1:14" x14ac:dyDescent="0.25">
      <c r="A331" t="s">
        <v>190</v>
      </c>
      <c r="B331" t="s">
        <v>9</v>
      </c>
      <c r="C331" t="s">
        <v>10</v>
      </c>
      <c r="D331" s="47">
        <f>ROUNDUP((1317.37),0)</f>
        <v>1318</v>
      </c>
      <c r="E331" s="2"/>
      <c r="F331" s="37">
        <f t="shared" si="30"/>
        <v>0.71391417425227566</v>
      </c>
      <c r="G331" s="2"/>
      <c r="H331" s="12">
        <f t="shared" si="31"/>
        <v>549</v>
      </c>
      <c r="I331" s="2"/>
      <c r="J331" s="12">
        <v>769</v>
      </c>
      <c r="K331" s="2"/>
      <c r="M331" t="s">
        <v>457</v>
      </c>
      <c r="N331" t="s">
        <v>462</v>
      </c>
    </row>
    <row r="332" spans="1:14" x14ac:dyDescent="0.25">
      <c r="A332" t="s">
        <v>190</v>
      </c>
      <c r="B332" t="s">
        <v>36</v>
      </c>
      <c r="C332" t="s">
        <v>37</v>
      </c>
      <c r="D332" s="47">
        <f>ROUNDUP((33274.99),0)</f>
        <v>33275</v>
      </c>
      <c r="E332" s="2"/>
      <c r="F332" s="37">
        <f t="shared" si="30"/>
        <v>1.2167300380228136E-2</v>
      </c>
      <c r="G332" s="2"/>
      <c r="H332" s="12">
        <f t="shared" si="31"/>
        <v>400</v>
      </c>
      <c r="I332" s="2"/>
      <c r="J332" s="12">
        <v>32875</v>
      </c>
      <c r="K332" s="2"/>
      <c r="M332" t="s">
        <v>457</v>
      </c>
      <c r="N332" t="s">
        <v>462</v>
      </c>
    </row>
    <row r="333" spans="1:14" x14ac:dyDescent="0.25">
      <c r="A333" t="s">
        <v>190</v>
      </c>
      <c r="B333" t="s">
        <v>38</v>
      </c>
      <c r="C333" t="s">
        <v>39</v>
      </c>
      <c r="D333" s="47">
        <f>ROUNDUP((29344.36),0)</f>
        <v>29345</v>
      </c>
      <c r="E333" s="2"/>
      <c r="F333" s="37">
        <f t="shared" si="30"/>
        <v>-0.26804020852560423</v>
      </c>
      <c r="G333" s="2"/>
      <c r="H333" s="12">
        <f t="shared" si="31"/>
        <v>-10746</v>
      </c>
      <c r="I333" s="2"/>
      <c r="J333" s="12">
        <v>40091</v>
      </c>
      <c r="K333" s="2"/>
      <c r="M333" t="s">
        <v>457</v>
      </c>
      <c r="N333" t="s">
        <v>462</v>
      </c>
    </row>
    <row r="334" spans="1:14" x14ac:dyDescent="0.25">
      <c r="A334" t="s">
        <v>190</v>
      </c>
      <c r="B334" t="s">
        <v>11</v>
      </c>
      <c r="C334" t="s">
        <v>12</v>
      </c>
      <c r="D334" s="47">
        <f>ROUNDUP((22038.95),0)</f>
        <v>22039</v>
      </c>
      <c r="E334" s="2"/>
      <c r="F334" s="37">
        <f t="shared" si="30"/>
        <v>6.520057999033349E-2</v>
      </c>
      <c r="G334" s="2"/>
      <c r="H334" s="12">
        <f t="shared" si="31"/>
        <v>1349</v>
      </c>
      <c r="I334" s="2"/>
      <c r="J334" s="12">
        <v>20690</v>
      </c>
      <c r="K334" s="2"/>
      <c r="M334" t="s">
        <v>457</v>
      </c>
      <c r="N334" t="s">
        <v>462</v>
      </c>
    </row>
    <row r="335" spans="1:14" x14ac:dyDescent="0.25">
      <c r="A335" t="s">
        <v>190</v>
      </c>
      <c r="B335" t="s">
        <v>13</v>
      </c>
      <c r="C335" t="s">
        <v>14</v>
      </c>
      <c r="D335" s="47">
        <v>1000</v>
      </c>
      <c r="E335" s="2"/>
      <c r="F335" s="37">
        <f t="shared" si="30"/>
        <v>0</v>
      </c>
      <c r="G335" s="2"/>
      <c r="H335" s="12">
        <f t="shared" si="31"/>
        <v>0</v>
      </c>
      <c r="I335" s="2"/>
      <c r="J335" s="12">
        <v>1000</v>
      </c>
      <c r="K335" s="2"/>
      <c r="M335" t="s">
        <v>457</v>
      </c>
      <c r="N335" t="s">
        <v>463</v>
      </c>
    </row>
    <row r="336" spans="1:14" x14ac:dyDescent="0.25">
      <c r="A336" t="s">
        <v>190</v>
      </c>
      <c r="B336" t="s">
        <v>21</v>
      </c>
      <c r="C336" t="s">
        <v>22</v>
      </c>
      <c r="D336" s="47">
        <v>120</v>
      </c>
      <c r="E336" s="2"/>
      <c r="F336" s="37">
        <f t="shared" si="30"/>
        <v>0</v>
      </c>
      <c r="G336" s="2"/>
      <c r="H336" s="12">
        <f t="shared" si="31"/>
        <v>0</v>
      </c>
      <c r="I336" s="2"/>
      <c r="J336" s="12">
        <v>120</v>
      </c>
      <c r="K336" s="2"/>
      <c r="M336" t="s">
        <v>457</v>
      </c>
      <c r="N336" t="s">
        <v>463</v>
      </c>
    </row>
    <row r="337" spans="1:14" x14ac:dyDescent="0.25">
      <c r="A337" t="s">
        <v>190</v>
      </c>
      <c r="B337" t="s">
        <v>151</v>
      </c>
      <c r="C337" t="s">
        <v>152</v>
      </c>
      <c r="D337" s="47">
        <v>300</v>
      </c>
      <c r="E337" s="2"/>
      <c r="F337" s="37">
        <f t="shared" si="30"/>
        <v>0</v>
      </c>
      <c r="G337" s="2"/>
      <c r="H337" s="12">
        <f t="shared" si="31"/>
        <v>0</v>
      </c>
      <c r="I337" s="2"/>
      <c r="J337" s="12">
        <v>300</v>
      </c>
      <c r="K337" s="2"/>
      <c r="M337" t="s">
        <v>457</v>
      </c>
      <c r="N337" t="s">
        <v>462</v>
      </c>
    </row>
    <row r="338" spans="1:14" x14ac:dyDescent="0.25">
      <c r="A338" t="s">
        <v>190</v>
      </c>
      <c r="B338" t="s">
        <v>153</v>
      </c>
      <c r="C338" t="s">
        <v>154</v>
      </c>
      <c r="D338" s="47">
        <v>2250</v>
      </c>
      <c r="E338" s="2"/>
      <c r="F338" s="37">
        <f t="shared" si="30"/>
        <v>0</v>
      </c>
      <c r="G338" s="2"/>
      <c r="H338" s="12">
        <f t="shared" si="31"/>
        <v>0</v>
      </c>
      <c r="I338" s="2"/>
      <c r="J338" s="12">
        <v>2250</v>
      </c>
      <c r="K338" s="2"/>
      <c r="M338" t="s">
        <v>457</v>
      </c>
      <c r="N338" t="s">
        <v>462</v>
      </c>
    </row>
    <row r="339" spans="1:14" x14ac:dyDescent="0.25">
      <c r="A339" t="s">
        <v>190</v>
      </c>
      <c r="B339" t="s">
        <v>23</v>
      </c>
      <c r="C339" t="s">
        <v>24</v>
      </c>
      <c r="D339" s="47">
        <v>1450</v>
      </c>
      <c r="E339" s="2"/>
      <c r="F339" s="37">
        <f t="shared" si="30"/>
        <v>0</v>
      </c>
      <c r="G339" s="2"/>
      <c r="H339" s="12">
        <f t="shared" si="31"/>
        <v>0</v>
      </c>
      <c r="I339" s="2"/>
      <c r="J339" s="12">
        <v>1450</v>
      </c>
      <c r="K339" s="2"/>
      <c r="M339" t="s">
        <v>457</v>
      </c>
      <c r="N339" t="s">
        <v>462</v>
      </c>
    </row>
    <row r="340" spans="1:14" x14ac:dyDescent="0.25">
      <c r="A340" t="s">
        <v>190</v>
      </c>
      <c r="B340" t="s">
        <v>123</v>
      </c>
      <c r="C340" t="s">
        <v>124</v>
      </c>
      <c r="D340" s="47">
        <v>1900</v>
      </c>
      <c r="E340" s="2"/>
      <c r="F340" s="37">
        <f t="shared" si="30"/>
        <v>0</v>
      </c>
      <c r="G340" s="2"/>
      <c r="H340" s="12">
        <f t="shared" si="31"/>
        <v>0</v>
      </c>
      <c r="I340" s="2"/>
      <c r="J340" s="12">
        <v>1900</v>
      </c>
      <c r="K340" s="2"/>
      <c r="M340" t="s">
        <v>457</v>
      </c>
      <c r="N340" t="s">
        <v>463</v>
      </c>
    </row>
    <row r="341" spans="1:14" x14ac:dyDescent="0.25">
      <c r="A341" t="s">
        <v>190</v>
      </c>
      <c r="B341" t="s">
        <v>69</v>
      </c>
      <c r="C341" t="s">
        <v>70</v>
      </c>
      <c r="D341" s="47">
        <v>1125</v>
      </c>
      <c r="E341" s="2"/>
      <c r="F341" s="37">
        <f t="shared" si="30"/>
        <v>0</v>
      </c>
      <c r="G341" s="2"/>
      <c r="H341" s="12">
        <f t="shared" si="31"/>
        <v>0</v>
      </c>
      <c r="I341" s="2"/>
      <c r="J341" s="12">
        <v>1125</v>
      </c>
      <c r="K341" s="2"/>
      <c r="M341" t="s">
        <v>457</v>
      </c>
      <c r="N341" t="s">
        <v>463</v>
      </c>
    </row>
    <row r="342" spans="1:14" x14ac:dyDescent="0.25">
      <c r="D342" s="2"/>
      <c r="E342" s="2"/>
      <c r="F342" s="2"/>
      <c r="G342" s="2"/>
      <c r="H342" s="2"/>
      <c r="I342" s="2"/>
      <c r="K342" s="2"/>
    </row>
    <row r="343" spans="1:14" x14ac:dyDescent="0.25">
      <c r="A343" t="s">
        <v>5</v>
      </c>
      <c r="B343" t="s">
        <v>5</v>
      </c>
      <c r="C343" s="1" t="s">
        <v>373</v>
      </c>
      <c r="D343" s="8">
        <f>SUM(D325:D341)</f>
        <v>382573</v>
      </c>
      <c r="E343" s="2"/>
      <c r="F343" s="15">
        <f>H343/J343</f>
        <v>1.6586462449280023E-2</v>
      </c>
      <c r="G343" s="2"/>
      <c r="H343" s="8">
        <f>SUM(H325:H341)</f>
        <v>6242</v>
      </c>
      <c r="I343" s="2"/>
      <c r="J343" s="8">
        <f>SUM(J325:J341)</f>
        <v>376331</v>
      </c>
      <c r="K343" s="2"/>
    </row>
    <row r="344" spans="1:14" x14ac:dyDescent="0.25">
      <c r="D344" s="2"/>
      <c r="E344" s="2"/>
      <c r="F344" s="2"/>
      <c r="G344" s="2"/>
      <c r="H344" s="2"/>
      <c r="I344" s="2"/>
      <c r="K344" s="2"/>
    </row>
    <row r="345" spans="1:14" x14ac:dyDescent="0.25">
      <c r="A345" t="s">
        <v>191</v>
      </c>
      <c r="B345" t="s">
        <v>3</v>
      </c>
      <c r="C345" t="s">
        <v>4</v>
      </c>
      <c r="D345" s="55">
        <v>2500</v>
      </c>
      <c r="E345" s="2"/>
      <c r="F345" s="37">
        <f t="shared" ref="F345:F393" si="32">H345/J345</f>
        <v>0</v>
      </c>
      <c r="G345" s="2"/>
      <c r="H345" s="12">
        <f t="shared" ref="H345:H393" si="33">D345-J345</f>
        <v>0</v>
      </c>
      <c r="I345" s="2"/>
      <c r="J345" s="12">
        <v>2500</v>
      </c>
      <c r="K345" s="2"/>
      <c r="M345" t="s">
        <v>459</v>
      </c>
      <c r="N345" t="s">
        <v>463</v>
      </c>
    </row>
    <row r="346" spans="1:14" x14ac:dyDescent="0.25">
      <c r="A346" t="s">
        <v>191</v>
      </c>
      <c r="B346" t="s">
        <v>57</v>
      </c>
      <c r="C346" t="s">
        <v>58</v>
      </c>
      <c r="D346" s="55">
        <f>ROUNDUP((92723.07),0)</f>
        <v>92724</v>
      </c>
      <c r="E346" s="2"/>
      <c r="F346" s="37">
        <f t="shared" si="32"/>
        <v>2.9980560955290197E-2</v>
      </c>
      <c r="G346" s="2"/>
      <c r="H346" s="12">
        <f t="shared" si="33"/>
        <v>2699</v>
      </c>
      <c r="I346" s="2"/>
      <c r="J346" s="12">
        <v>90025</v>
      </c>
      <c r="K346" s="2"/>
      <c r="M346" t="s">
        <v>459</v>
      </c>
      <c r="N346" t="s">
        <v>462</v>
      </c>
    </row>
    <row r="347" spans="1:14" x14ac:dyDescent="0.25">
      <c r="A347" t="s">
        <v>191</v>
      </c>
      <c r="B347" t="s">
        <v>30</v>
      </c>
      <c r="C347" t="s">
        <v>31</v>
      </c>
      <c r="D347" s="55">
        <v>463535.28</v>
      </c>
      <c r="E347" s="2"/>
      <c r="F347" s="37">
        <f t="shared" si="32"/>
        <v>7.2933758616379629E-2</v>
      </c>
      <c r="G347" s="2"/>
      <c r="H347" s="12">
        <f t="shared" si="33"/>
        <v>31509.280000000028</v>
      </c>
      <c r="I347" s="2"/>
      <c r="J347" s="12">
        <v>432026</v>
      </c>
      <c r="K347" s="2"/>
      <c r="M347" t="s">
        <v>459</v>
      </c>
      <c r="N347" t="s">
        <v>462</v>
      </c>
    </row>
    <row r="348" spans="1:14" x14ac:dyDescent="0.25">
      <c r="A348" t="s">
        <v>191</v>
      </c>
      <c r="B348" t="s">
        <v>32</v>
      </c>
      <c r="C348" t="s">
        <v>33</v>
      </c>
      <c r="D348" s="55">
        <f>ROUNDUP((41926.77),0)</f>
        <v>41927</v>
      </c>
      <c r="E348" s="2"/>
      <c r="F348" s="37">
        <f t="shared" si="32"/>
        <v>0.1182919022724848</v>
      </c>
      <c r="G348" s="2"/>
      <c r="H348" s="12">
        <f t="shared" si="33"/>
        <v>4435</v>
      </c>
      <c r="I348" s="2"/>
      <c r="J348" s="12">
        <v>37492</v>
      </c>
      <c r="K348" s="2"/>
      <c r="M348" t="s">
        <v>459</v>
      </c>
      <c r="N348" t="s">
        <v>462</v>
      </c>
    </row>
    <row r="349" spans="1:14" x14ac:dyDescent="0.25">
      <c r="A349" t="s">
        <v>191</v>
      </c>
      <c r="B349" t="s">
        <v>141</v>
      </c>
      <c r="C349" t="s">
        <v>142</v>
      </c>
      <c r="D349" s="55">
        <v>25500</v>
      </c>
      <c r="E349" s="2"/>
      <c r="F349" s="37">
        <f t="shared" si="32"/>
        <v>0</v>
      </c>
      <c r="G349" s="2"/>
      <c r="H349" s="12">
        <f t="shared" si="33"/>
        <v>0</v>
      </c>
      <c r="I349" s="2"/>
      <c r="J349" s="12">
        <v>25500</v>
      </c>
      <c r="K349" s="2"/>
      <c r="M349" t="s">
        <v>459</v>
      </c>
      <c r="N349" t="s">
        <v>462</v>
      </c>
    </row>
    <row r="350" spans="1:14" x14ac:dyDescent="0.25">
      <c r="A350" t="s">
        <v>191</v>
      </c>
      <c r="B350" t="s">
        <v>61</v>
      </c>
      <c r="C350" t="s">
        <v>62</v>
      </c>
      <c r="D350" s="55">
        <v>40000</v>
      </c>
      <c r="E350" s="2"/>
      <c r="F350" s="37">
        <f t="shared" si="32"/>
        <v>0</v>
      </c>
      <c r="G350" s="2"/>
      <c r="H350" s="12">
        <f t="shared" si="33"/>
        <v>0</v>
      </c>
      <c r="I350" s="2"/>
      <c r="J350" s="12">
        <v>40000</v>
      </c>
      <c r="K350" s="2"/>
      <c r="M350" t="s">
        <v>459</v>
      </c>
      <c r="N350" t="s">
        <v>462</v>
      </c>
    </row>
    <row r="351" spans="1:14" x14ac:dyDescent="0.25">
      <c r="A351" t="s">
        <v>191</v>
      </c>
      <c r="B351" t="s">
        <v>34</v>
      </c>
      <c r="C351" t="s">
        <v>35</v>
      </c>
      <c r="D351" s="55">
        <f>ROUNDUP((705.6),0)</f>
        <v>706</v>
      </c>
      <c r="E351" s="2"/>
      <c r="F351" s="37">
        <f t="shared" si="32"/>
        <v>-0.13902439024390245</v>
      </c>
      <c r="G351" s="2"/>
      <c r="H351" s="12">
        <f t="shared" si="33"/>
        <v>-114</v>
      </c>
      <c r="I351" s="2"/>
      <c r="J351" s="12">
        <v>820</v>
      </c>
      <c r="K351" s="2"/>
      <c r="M351" t="s">
        <v>459</v>
      </c>
      <c r="N351" t="s">
        <v>462</v>
      </c>
    </row>
    <row r="352" spans="1:14" x14ac:dyDescent="0.25">
      <c r="A352" t="s">
        <v>191</v>
      </c>
      <c r="B352" t="s">
        <v>9</v>
      </c>
      <c r="C352" t="s">
        <v>10</v>
      </c>
      <c r="D352" s="55">
        <v>48182.42</v>
      </c>
      <c r="E352" s="2"/>
      <c r="F352" s="37">
        <f t="shared" si="32"/>
        <v>0.24483077559034772</v>
      </c>
      <c r="G352" s="2"/>
      <c r="H352" s="12">
        <f t="shared" si="33"/>
        <v>9476.4199999999983</v>
      </c>
      <c r="I352" s="2"/>
      <c r="J352" s="12">
        <v>38706</v>
      </c>
      <c r="K352" s="2"/>
      <c r="M352" t="s">
        <v>459</v>
      </c>
      <c r="N352" t="s">
        <v>462</v>
      </c>
    </row>
    <row r="353" spans="1:14" x14ac:dyDescent="0.25">
      <c r="A353" t="s">
        <v>191</v>
      </c>
      <c r="B353" t="s">
        <v>36</v>
      </c>
      <c r="C353" t="s">
        <v>37</v>
      </c>
      <c r="D353" s="55">
        <v>65094.879999999997</v>
      </c>
      <c r="E353" s="2"/>
      <c r="F353" s="37">
        <f t="shared" si="32"/>
        <v>6.445930698412175E-2</v>
      </c>
      <c r="G353" s="2"/>
      <c r="H353" s="12">
        <f t="shared" si="33"/>
        <v>3941.8799999999974</v>
      </c>
      <c r="I353" s="2"/>
      <c r="J353" s="12">
        <v>61153</v>
      </c>
      <c r="K353" s="2"/>
      <c r="M353" t="s">
        <v>459</v>
      </c>
      <c r="N353" t="s">
        <v>462</v>
      </c>
    </row>
    <row r="354" spans="1:14" x14ac:dyDescent="0.25">
      <c r="A354" t="s">
        <v>191</v>
      </c>
      <c r="B354" t="s">
        <v>38</v>
      </c>
      <c r="C354" t="s">
        <v>39</v>
      </c>
      <c r="D354" s="55">
        <v>140993.67000000001</v>
      </c>
      <c r="E354" s="2"/>
      <c r="F354" s="37">
        <f t="shared" si="32"/>
        <v>0.19195243811713794</v>
      </c>
      <c r="G354" s="2"/>
      <c r="H354" s="12">
        <f t="shared" si="33"/>
        <v>22705.670000000013</v>
      </c>
      <c r="I354" s="2"/>
      <c r="J354" s="12">
        <v>118288</v>
      </c>
      <c r="K354" s="2"/>
      <c r="M354" t="s">
        <v>459</v>
      </c>
      <c r="N354" t="s">
        <v>462</v>
      </c>
    </row>
    <row r="355" spans="1:14" x14ac:dyDescent="0.25">
      <c r="A355" t="s">
        <v>191</v>
      </c>
      <c r="B355" t="s">
        <v>11</v>
      </c>
      <c r="C355" t="s">
        <v>12</v>
      </c>
      <c r="D355" s="55">
        <v>50771.91</v>
      </c>
      <c r="E355" s="2"/>
      <c r="F355" s="37">
        <f t="shared" si="32"/>
        <v>6.1818428977748106E-2</v>
      </c>
      <c r="G355" s="2"/>
      <c r="H355" s="12">
        <f t="shared" si="33"/>
        <v>2955.9100000000035</v>
      </c>
      <c r="I355" s="2"/>
      <c r="J355" s="12">
        <v>47816</v>
      </c>
      <c r="K355" s="2"/>
      <c r="M355" t="s">
        <v>459</v>
      </c>
      <c r="N355" t="s">
        <v>462</v>
      </c>
    </row>
    <row r="356" spans="1:14" x14ac:dyDescent="0.25">
      <c r="A356" t="s">
        <v>191</v>
      </c>
      <c r="B356" t="s">
        <v>192</v>
      </c>
      <c r="C356" t="s">
        <v>193</v>
      </c>
      <c r="D356" s="55">
        <v>1000</v>
      </c>
      <c r="E356" s="2"/>
      <c r="F356" s="37">
        <f t="shared" si="32"/>
        <v>0.66666666666666663</v>
      </c>
      <c r="G356" s="2"/>
      <c r="H356" s="12">
        <f t="shared" si="33"/>
        <v>400</v>
      </c>
      <c r="I356" s="2"/>
      <c r="J356" s="12">
        <v>600</v>
      </c>
      <c r="K356" s="2"/>
      <c r="M356" t="s">
        <v>459</v>
      </c>
      <c r="N356" t="s">
        <v>462</v>
      </c>
    </row>
    <row r="357" spans="1:14" x14ac:dyDescent="0.25">
      <c r="A357" t="s">
        <v>191</v>
      </c>
      <c r="B357" t="s">
        <v>13</v>
      </c>
      <c r="C357" t="s">
        <v>14</v>
      </c>
      <c r="D357" s="55">
        <v>2000</v>
      </c>
      <c r="E357" s="2"/>
      <c r="F357" s="37">
        <f t="shared" si="32"/>
        <v>0.33333333333333331</v>
      </c>
      <c r="G357" s="2"/>
      <c r="H357" s="12">
        <f t="shared" si="33"/>
        <v>500</v>
      </c>
      <c r="I357" s="2"/>
      <c r="J357" s="12">
        <v>1500</v>
      </c>
      <c r="K357" s="2"/>
      <c r="M357" t="s">
        <v>459</v>
      </c>
      <c r="N357" t="s">
        <v>463</v>
      </c>
    </row>
    <row r="358" spans="1:14" x14ac:dyDescent="0.25">
      <c r="A358" t="s">
        <v>191</v>
      </c>
      <c r="B358" t="s">
        <v>15</v>
      </c>
      <c r="C358" t="s">
        <v>16</v>
      </c>
      <c r="D358" s="55">
        <v>8500</v>
      </c>
      <c r="E358" s="2"/>
      <c r="F358" s="37">
        <f t="shared" si="32"/>
        <v>0</v>
      </c>
      <c r="G358" s="2"/>
      <c r="H358" s="12">
        <f t="shared" si="33"/>
        <v>0</v>
      </c>
      <c r="I358" s="2"/>
      <c r="J358" s="12">
        <v>8500</v>
      </c>
      <c r="K358" s="2"/>
      <c r="M358" t="s">
        <v>459</v>
      </c>
      <c r="N358" t="s">
        <v>463</v>
      </c>
    </row>
    <row r="359" spans="1:14" x14ac:dyDescent="0.25">
      <c r="A359" t="s">
        <v>191</v>
      </c>
      <c r="B359" t="s">
        <v>19</v>
      </c>
      <c r="C359" t="s">
        <v>20</v>
      </c>
      <c r="D359" s="55">
        <v>150</v>
      </c>
      <c r="E359" s="2"/>
      <c r="F359" s="37">
        <f t="shared" si="32"/>
        <v>0</v>
      </c>
      <c r="G359" s="2"/>
      <c r="H359" s="12">
        <f t="shared" si="33"/>
        <v>0</v>
      </c>
      <c r="I359" s="2"/>
      <c r="J359" s="12">
        <v>150</v>
      </c>
      <c r="K359" s="2"/>
      <c r="M359" t="s">
        <v>459</v>
      </c>
      <c r="N359" t="s">
        <v>463</v>
      </c>
    </row>
    <row r="360" spans="1:14" x14ac:dyDescent="0.25">
      <c r="A360" t="s">
        <v>191</v>
      </c>
      <c r="B360" t="s">
        <v>21</v>
      </c>
      <c r="C360" t="s">
        <v>22</v>
      </c>
      <c r="D360" s="55">
        <v>1500</v>
      </c>
      <c r="E360" s="2"/>
      <c r="F360" s="37">
        <f t="shared" si="32"/>
        <v>0.5</v>
      </c>
      <c r="G360" s="2"/>
      <c r="H360" s="12">
        <f t="shared" si="33"/>
        <v>500</v>
      </c>
      <c r="I360" s="2"/>
      <c r="J360" s="12">
        <v>1000</v>
      </c>
      <c r="K360" s="2"/>
      <c r="M360" t="s">
        <v>459</v>
      </c>
      <c r="N360" t="s">
        <v>463</v>
      </c>
    </row>
    <row r="361" spans="1:14" x14ac:dyDescent="0.25">
      <c r="A361" t="s">
        <v>191</v>
      </c>
      <c r="B361" t="s">
        <v>194</v>
      </c>
      <c r="C361" t="s">
        <v>195</v>
      </c>
      <c r="D361" s="55">
        <v>1500</v>
      </c>
      <c r="E361" s="2"/>
      <c r="F361" s="37">
        <f t="shared" si="32"/>
        <v>0</v>
      </c>
      <c r="G361" s="2"/>
      <c r="H361" s="12">
        <f t="shared" si="33"/>
        <v>0</v>
      </c>
      <c r="I361" s="2"/>
      <c r="J361" s="12">
        <v>1500</v>
      </c>
      <c r="K361" s="2"/>
      <c r="M361" t="s">
        <v>459</v>
      </c>
      <c r="N361" t="s">
        <v>462</v>
      </c>
    </row>
    <row r="362" spans="1:14" x14ac:dyDescent="0.25">
      <c r="A362" t="s">
        <v>191</v>
      </c>
      <c r="B362" t="s">
        <v>153</v>
      </c>
      <c r="C362" t="s">
        <v>154</v>
      </c>
      <c r="D362" s="55">
        <v>10750</v>
      </c>
      <c r="E362" s="2"/>
      <c r="F362" s="37">
        <f t="shared" si="32"/>
        <v>0</v>
      </c>
      <c r="G362" s="2"/>
      <c r="H362" s="12">
        <f t="shared" si="33"/>
        <v>0</v>
      </c>
      <c r="I362" s="2"/>
      <c r="J362" s="12">
        <v>10750</v>
      </c>
      <c r="K362" s="2"/>
      <c r="M362" t="s">
        <v>459</v>
      </c>
      <c r="N362" t="s">
        <v>462</v>
      </c>
    </row>
    <row r="363" spans="1:14" x14ac:dyDescent="0.25">
      <c r="A363" t="s">
        <v>191</v>
      </c>
      <c r="B363" t="s">
        <v>40</v>
      </c>
      <c r="C363" t="s">
        <v>41</v>
      </c>
      <c r="D363" s="55">
        <v>1600</v>
      </c>
      <c r="E363" s="2"/>
      <c r="F363" s="37">
        <f t="shared" si="32"/>
        <v>0</v>
      </c>
      <c r="G363" s="2"/>
      <c r="H363" s="12">
        <f t="shared" si="33"/>
        <v>0</v>
      </c>
      <c r="I363" s="2"/>
      <c r="J363" s="12">
        <v>1600</v>
      </c>
      <c r="K363" s="2"/>
      <c r="M363" t="s">
        <v>459</v>
      </c>
      <c r="N363" t="s">
        <v>462</v>
      </c>
    </row>
    <row r="364" spans="1:14" x14ac:dyDescent="0.25">
      <c r="A364" t="s">
        <v>191</v>
      </c>
      <c r="B364" t="s">
        <v>111</v>
      </c>
      <c r="C364" t="s">
        <v>112</v>
      </c>
      <c r="D364" s="55">
        <v>5000</v>
      </c>
      <c r="E364" s="2"/>
      <c r="F364" s="37">
        <f t="shared" si="32"/>
        <v>0.66666666666666663</v>
      </c>
      <c r="G364" s="2"/>
      <c r="H364" s="12">
        <f t="shared" si="33"/>
        <v>2000</v>
      </c>
      <c r="I364" s="2"/>
      <c r="J364" s="12">
        <v>3000</v>
      </c>
      <c r="K364" s="2"/>
      <c r="M364" t="s">
        <v>459</v>
      </c>
      <c r="N364" t="s">
        <v>463</v>
      </c>
    </row>
    <row r="365" spans="1:14" x14ac:dyDescent="0.25">
      <c r="A365" t="s">
        <v>191</v>
      </c>
      <c r="B365" t="s">
        <v>196</v>
      </c>
      <c r="C365" t="s">
        <v>197</v>
      </c>
      <c r="D365" s="55">
        <v>15000</v>
      </c>
      <c r="E365" s="2"/>
      <c r="F365" s="37">
        <f t="shared" si="32"/>
        <v>0</v>
      </c>
      <c r="G365" s="2"/>
      <c r="H365" s="12">
        <f t="shared" si="33"/>
        <v>0</v>
      </c>
      <c r="I365" s="2"/>
      <c r="J365" s="12">
        <v>15000</v>
      </c>
      <c r="K365" s="2"/>
      <c r="M365" t="s">
        <v>459</v>
      </c>
      <c r="N365" t="s">
        <v>465</v>
      </c>
    </row>
    <row r="366" spans="1:14" x14ac:dyDescent="0.25">
      <c r="A366" t="s">
        <v>191</v>
      </c>
      <c r="B366" t="s">
        <v>198</v>
      </c>
      <c r="C366" t="s">
        <v>199</v>
      </c>
      <c r="D366" s="55">
        <v>25000</v>
      </c>
      <c r="E366" s="2"/>
      <c r="F366" s="37">
        <f t="shared" si="32"/>
        <v>0</v>
      </c>
      <c r="G366" s="2"/>
      <c r="H366" s="12">
        <f t="shared" si="33"/>
        <v>0</v>
      </c>
      <c r="I366" s="2"/>
      <c r="J366" s="12">
        <v>25000</v>
      </c>
      <c r="K366" s="2"/>
      <c r="M366" t="s">
        <v>459</v>
      </c>
      <c r="N366" t="s">
        <v>465</v>
      </c>
    </row>
    <row r="367" spans="1:14" x14ac:dyDescent="0.25">
      <c r="A367" t="s">
        <v>191</v>
      </c>
      <c r="B367" t="s">
        <v>200</v>
      </c>
      <c r="C367" t="s">
        <v>201</v>
      </c>
      <c r="D367" s="55">
        <v>5000</v>
      </c>
      <c r="E367" s="2"/>
      <c r="F367" s="37">
        <f t="shared" si="32"/>
        <v>0</v>
      </c>
      <c r="G367" s="2"/>
      <c r="H367" s="12">
        <f t="shared" si="33"/>
        <v>0</v>
      </c>
      <c r="I367" s="2"/>
      <c r="J367" s="12">
        <v>5000</v>
      </c>
      <c r="K367" s="2"/>
      <c r="M367" t="s">
        <v>459</v>
      </c>
      <c r="N367" t="s">
        <v>464</v>
      </c>
    </row>
    <row r="368" spans="1:14" x14ac:dyDescent="0.25">
      <c r="A368" t="s">
        <v>191</v>
      </c>
      <c r="B368" t="s">
        <v>169</v>
      </c>
      <c r="C368" t="s">
        <v>170</v>
      </c>
      <c r="D368" s="56">
        <v>80000</v>
      </c>
      <c r="E368" s="2"/>
      <c r="F368" s="37">
        <f t="shared" si="32"/>
        <v>0.45454545454545453</v>
      </c>
      <c r="G368" s="2"/>
      <c r="H368" s="12">
        <f t="shared" si="33"/>
        <v>25000</v>
      </c>
      <c r="I368" s="2"/>
      <c r="J368" s="12">
        <v>55000</v>
      </c>
      <c r="K368" s="2"/>
      <c r="L368" t="s">
        <v>412</v>
      </c>
      <c r="M368" t="s">
        <v>459</v>
      </c>
      <c r="N368" t="s">
        <v>463</v>
      </c>
    </row>
    <row r="369" spans="1:14" x14ac:dyDescent="0.25">
      <c r="A369" t="s">
        <v>191</v>
      </c>
      <c r="B369" t="s">
        <v>202</v>
      </c>
      <c r="C369" t="s">
        <v>203</v>
      </c>
      <c r="D369" s="56">
        <v>20000</v>
      </c>
      <c r="E369" s="2"/>
      <c r="F369" s="37">
        <f t="shared" si="32"/>
        <v>0.33333333333333331</v>
      </c>
      <c r="G369" s="2"/>
      <c r="H369" s="12">
        <f t="shared" si="33"/>
        <v>5000</v>
      </c>
      <c r="I369" s="2"/>
      <c r="J369" s="12">
        <v>15000</v>
      </c>
      <c r="K369" s="2"/>
      <c r="M369" t="s">
        <v>459</v>
      </c>
      <c r="N369" t="s">
        <v>463</v>
      </c>
    </row>
    <row r="370" spans="1:14" x14ac:dyDescent="0.25">
      <c r="A370" t="s">
        <v>191</v>
      </c>
      <c r="B370" t="s">
        <v>85</v>
      </c>
      <c r="C370" t="s">
        <v>86</v>
      </c>
      <c r="D370" s="56">
        <v>9000</v>
      </c>
      <c r="E370" s="2"/>
      <c r="F370" s="37">
        <f t="shared" si="32"/>
        <v>9.2233009708737865E-2</v>
      </c>
      <c r="G370" s="2"/>
      <c r="H370" s="12">
        <f t="shared" si="33"/>
        <v>760</v>
      </c>
      <c r="I370" s="2"/>
      <c r="J370" s="12">
        <v>8240</v>
      </c>
      <c r="K370" s="2"/>
      <c r="M370" t="s">
        <v>459</v>
      </c>
      <c r="N370" t="s">
        <v>463</v>
      </c>
    </row>
    <row r="371" spans="1:14" x14ac:dyDescent="0.25">
      <c r="A371" t="s">
        <v>191</v>
      </c>
      <c r="B371" t="s">
        <v>204</v>
      </c>
      <c r="C371" t="s">
        <v>205</v>
      </c>
      <c r="D371" s="56">
        <v>6000</v>
      </c>
      <c r="E371" s="2"/>
      <c r="F371" s="37">
        <f t="shared" si="32"/>
        <v>0.33333333333333331</v>
      </c>
      <c r="G371" s="2"/>
      <c r="H371" s="12">
        <f t="shared" si="33"/>
        <v>1500</v>
      </c>
      <c r="I371" s="2"/>
      <c r="J371" s="12">
        <v>4500</v>
      </c>
      <c r="K371" s="2"/>
      <c r="M371" t="s">
        <v>459</v>
      </c>
      <c r="N371" t="s">
        <v>463</v>
      </c>
    </row>
    <row r="372" spans="1:14" x14ac:dyDescent="0.25">
      <c r="A372" t="s">
        <v>191</v>
      </c>
      <c r="B372" t="s">
        <v>157</v>
      </c>
      <c r="C372" t="s">
        <v>158</v>
      </c>
      <c r="D372" s="56">
        <v>32000</v>
      </c>
      <c r="E372" s="2"/>
      <c r="F372" s="37">
        <f t="shared" si="32"/>
        <v>-9.379247847757137E-2</v>
      </c>
      <c r="G372" s="2"/>
      <c r="H372" s="12">
        <f t="shared" si="33"/>
        <v>-3312</v>
      </c>
      <c r="I372" s="2"/>
      <c r="J372" s="12">
        <v>35312</v>
      </c>
      <c r="K372" s="2"/>
      <c r="M372" t="s">
        <v>459</v>
      </c>
      <c r="N372" t="s">
        <v>463</v>
      </c>
    </row>
    <row r="373" spans="1:14" x14ac:dyDescent="0.25">
      <c r="A373" t="s">
        <v>191</v>
      </c>
      <c r="B373" t="s">
        <v>159</v>
      </c>
      <c r="C373" t="s">
        <v>160</v>
      </c>
      <c r="D373" s="56">
        <v>6500</v>
      </c>
      <c r="E373" s="2"/>
      <c r="F373" s="37">
        <f t="shared" si="32"/>
        <v>0.3</v>
      </c>
      <c r="G373" s="2"/>
      <c r="H373" s="12">
        <f t="shared" si="33"/>
        <v>1500</v>
      </c>
      <c r="I373" s="2"/>
      <c r="J373" s="12">
        <v>5000</v>
      </c>
      <c r="K373" s="2"/>
      <c r="M373" t="s">
        <v>459</v>
      </c>
      <c r="N373" t="s">
        <v>463</v>
      </c>
    </row>
    <row r="374" spans="1:14" x14ac:dyDescent="0.25">
      <c r="A374" t="s">
        <v>191</v>
      </c>
      <c r="B374" t="s">
        <v>23</v>
      </c>
      <c r="C374" t="s">
        <v>24</v>
      </c>
      <c r="D374" s="56">
        <v>5200</v>
      </c>
      <c r="E374" s="2"/>
      <c r="F374" s="37">
        <f t="shared" si="32"/>
        <v>0.3</v>
      </c>
      <c r="G374" s="2"/>
      <c r="H374" s="12">
        <f t="shared" si="33"/>
        <v>1200</v>
      </c>
      <c r="I374" s="2"/>
      <c r="J374" s="12">
        <v>4000</v>
      </c>
      <c r="K374" s="2"/>
      <c r="M374" t="s">
        <v>459</v>
      </c>
      <c r="N374" t="s">
        <v>462</v>
      </c>
    </row>
    <row r="375" spans="1:14" x14ac:dyDescent="0.25">
      <c r="A375" t="s">
        <v>191</v>
      </c>
      <c r="B375" t="s">
        <v>65</v>
      </c>
      <c r="C375" t="s">
        <v>66</v>
      </c>
      <c r="D375" s="56">
        <v>665</v>
      </c>
      <c r="E375" s="2"/>
      <c r="F375" s="37">
        <f t="shared" si="32"/>
        <v>0.33</v>
      </c>
      <c r="G375" s="2"/>
      <c r="H375" s="12">
        <f t="shared" si="33"/>
        <v>165</v>
      </c>
      <c r="I375" s="2"/>
      <c r="J375" s="12">
        <v>500</v>
      </c>
      <c r="K375" s="2"/>
      <c r="M375" t="s">
        <v>459</v>
      </c>
      <c r="N375" t="s">
        <v>462</v>
      </c>
    </row>
    <row r="376" spans="1:14" x14ac:dyDescent="0.25">
      <c r="A376" t="s">
        <v>191</v>
      </c>
      <c r="B376" t="s">
        <v>44</v>
      </c>
      <c r="C376" t="s">
        <v>45</v>
      </c>
      <c r="D376" s="56">
        <v>500</v>
      </c>
      <c r="E376" s="2"/>
      <c r="F376" s="37">
        <f t="shared" si="32"/>
        <v>0</v>
      </c>
      <c r="G376" s="2"/>
      <c r="H376" s="12">
        <f t="shared" si="33"/>
        <v>0</v>
      </c>
      <c r="I376" s="2"/>
      <c r="J376" s="12">
        <v>500</v>
      </c>
      <c r="K376" s="2"/>
      <c r="M376" t="s">
        <v>459</v>
      </c>
      <c r="N376" t="s">
        <v>462</v>
      </c>
    </row>
    <row r="377" spans="1:14" x14ac:dyDescent="0.25">
      <c r="A377" t="s">
        <v>191</v>
      </c>
      <c r="B377" t="s">
        <v>206</v>
      </c>
      <c r="C377" t="s">
        <v>207</v>
      </c>
      <c r="D377" s="56">
        <v>1200</v>
      </c>
      <c r="E377" s="2"/>
      <c r="F377" s="37">
        <f t="shared" si="32"/>
        <v>0</v>
      </c>
      <c r="G377" s="2"/>
      <c r="H377" s="12">
        <f t="shared" si="33"/>
        <v>0</v>
      </c>
      <c r="I377" s="2"/>
      <c r="J377" s="12">
        <v>1200</v>
      </c>
      <c r="K377" s="2"/>
      <c r="M377" t="s">
        <v>459</v>
      </c>
      <c r="N377" t="s">
        <v>463</v>
      </c>
    </row>
    <row r="378" spans="1:14" x14ac:dyDescent="0.25">
      <c r="A378" t="s">
        <v>191</v>
      </c>
      <c r="B378" t="s">
        <v>67</v>
      </c>
      <c r="C378" t="s">
        <v>68</v>
      </c>
      <c r="D378" s="56">
        <v>28000</v>
      </c>
      <c r="E378" s="2"/>
      <c r="F378" s="37">
        <f t="shared" si="32"/>
        <v>6.0606060606060608E-2</v>
      </c>
      <c r="G378" s="2"/>
      <c r="H378" s="12">
        <f t="shared" si="33"/>
        <v>1600</v>
      </c>
      <c r="I378" s="2"/>
      <c r="J378" s="12">
        <v>26400</v>
      </c>
      <c r="K378" s="2"/>
      <c r="M378" t="s">
        <v>459</v>
      </c>
      <c r="N378" t="s">
        <v>462</v>
      </c>
    </row>
    <row r="379" spans="1:14" x14ac:dyDescent="0.25">
      <c r="A379" t="s">
        <v>191</v>
      </c>
      <c r="B379" t="s">
        <v>121</v>
      </c>
      <c r="C379" t="s">
        <v>173</v>
      </c>
      <c r="D379" s="56">
        <f>500*1.14</f>
        <v>570</v>
      </c>
      <c r="E379" s="2"/>
      <c r="F379" s="37">
        <f t="shared" si="32"/>
        <v>0.14000000000000001</v>
      </c>
      <c r="G379" s="2"/>
      <c r="H379" s="12">
        <f t="shared" si="33"/>
        <v>70</v>
      </c>
      <c r="I379" s="2"/>
      <c r="J379" s="12">
        <v>500</v>
      </c>
      <c r="K379" s="2"/>
      <c r="M379" t="s">
        <v>459</v>
      </c>
      <c r="N379" t="s">
        <v>463</v>
      </c>
    </row>
    <row r="380" spans="1:14" x14ac:dyDescent="0.25">
      <c r="A380" t="s">
        <v>191</v>
      </c>
      <c r="B380" t="s">
        <v>123</v>
      </c>
      <c r="C380" t="s">
        <v>124</v>
      </c>
      <c r="D380" s="56">
        <v>4020</v>
      </c>
      <c r="E380" s="2"/>
      <c r="F380" s="37">
        <f t="shared" si="32"/>
        <v>0</v>
      </c>
      <c r="G380" s="2"/>
      <c r="H380" s="12">
        <f t="shared" si="33"/>
        <v>0</v>
      </c>
      <c r="I380" s="2"/>
      <c r="J380" s="12">
        <v>4020</v>
      </c>
      <c r="K380" s="2"/>
      <c r="M380" t="s">
        <v>459</v>
      </c>
      <c r="N380" t="s">
        <v>463</v>
      </c>
    </row>
    <row r="381" spans="1:14" x14ac:dyDescent="0.25">
      <c r="A381" t="s">
        <v>191</v>
      </c>
      <c r="B381" t="s">
        <v>125</v>
      </c>
      <c r="C381" t="s">
        <v>126</v>
      </c>
      <c r="D381" s="56">
        <f>ROUNDUP((612*1.04),0)</f>
        <v>637</v>
      </c>
      <c r="E381" s="2"/>
      <c r="F381" s="37">
        <f t="shared" si="32"/>
        <v>4.084967320261438E-2</v>
      </c>
      <c r="G381" s="2"/>
      <c r="H381" s="12">
        <f t="shared" si="33"/>
        <v>25</v>
      </c>
      <c r="I381" s="2"/>
      <c r="J381" s="12">
        <v>612</v>
      </c>
      <c r="K381" s="2"/>
      <c r="M381" t="s">
        <v>459</v>
      </c>
      <c r="N381" t="s">
        <v>463</v>
      </c>
    </row>
    <row r="382" spans="1:14" x14ac:dyDescent="0.25">
      <c r="A382" t="s">
        <v>191</v>
      </c>
      <c r="B382" t="s">
        <v>208</v>
      </c>
      <c r="C382" t="s">
        <v>209</v>
      </c>
      <c r="D382" s="56">
        <v>25000</v>
      </c>
      <c r="E382" s="2"/>
      <c r="F382" s="37">
        <f t="shared" si="32"/>
        <v>0</v>
      </c>
      <c r="G382" s="2"/>
      <c r="H382" s="12">
        <f t="shared" si="33"/>
        <v>0</v>
      </c>
      <c r="I382" s="2"/>
      <c r="J382" s="12">
        <v>25000</v>
      </c>
      <c r="K382" s="2"/>
      <c r="M382" t="s">
        <v>459</v>
      </c>
      <c r="N382" t="s">
        <v>464</v>
      </c>
    </row>
    <row r="383" spans="1:14" x14ac:dyDescent="0.25">
      <c r="A383" t="s">
        <v>191</v>
      </c>
      <c r="B383" t="s">
        <v>69</v>
      </c>
      <c r="C383" t="s">
        <v>70</v>
      </c>
      <c r="D383" s="56">
        <v>12000</v>
      </c>
      <c r="E383" s="2"/>
      <c r="F383" s="37">
        <f t="shared" si="32"/>
        <v>0.5</v>
      </c>
      <c r="G383" s="2"/>
      <c r="H383" s="12">
        <f t="shared" si="33"/>
        <v>4000</v>
      </c>
      <c r="I383" s="2"/>
      <c r="J383" s="12">
        <v>8000</v>
      </c>
      <c r="K383" s="2"/>
      <c r="M383" t="s">
        <v>459</v>
      </c>
      <c r="N383" t="s">
        <v>463</v>
      </c>
    </row>
    <row r="384" spans="1:14" x14ac:dyDescent="0.25">
      <c r="A384" t="s">
        <v>191</v>
      </c>
      <c r="B384" t="s">
        <v>210</v>
      </c>
      <c r="C384" t="s">
        <v>211</v>
      </c>
      <c r="D384" s="56">
        <v>5000</v>
      </c>
      <c r="E384" s="2"/>
      <c r="F384" s="37">
        <f t="shared" si="32"/>
        <v>0</v>
      </c>
      <c r="G384" s="2"/>
      <c r="H384" s="12">
        <f t="shared" si="33"/>
        <v>0</v>
      </c>
      <c r="I384" s="2"/>
      <c r="J384" s="12">
        <v>5000</v>
      </c>
      <c r="K384" s="2"/>
      <c r="M384" t="s">
        <v>459</v>
      </c>
      <c r="N384" t="s">
        <v>463</v>
      </c>
    </row>
    <row r="385" spans="1:14" x14ac:dyDescent="0.25">
      <c r="A385" t="s">
        <v>191</v>
      </c>
      <c r="B385" t="s">
        <v>212</v>
      </c>
      <c r="C385" t="s">
        <v>213</v>
      </c>
      <c r="D385" s="56">
        <v>1500</v>
      </c>
      <c r="E385" s="2"/>
      <c r="F385" s="37">
        <f t="shared" si="32"/>
        <v>0</v>
      </c>
      <c r="G385" s="2"/>
      <c r="H385" s="12">
        <f t="shared" si="33"/>
        <v>0</v>
      </c>
      <c r="I385" s="2"/>
      <c r="J385" s="12">
        <v>1500</v>
      </c>
      <c r="K385" s="2"/>
      <c r="M385" t="s">
        <v>459</v>
      </c>
      <c r="N385" t="s">
        <v>463</v>
      </c>
    </row>
    <row r="386" spans="1:14" x14ac:dyDescent="0.25">
      <c r="A386" t="s">
        <v>191</v>
      </c>
      <c r="B386" t="s">
        <v>214</v>
      </c>
      <c r="C386" t="s">
        <v>215</v>
      </c>
      <c r="D386" s="56">
        <v>5000</v>
      </c>
      <c r="E386" s="2"/>
      <c r="F386" s="37">
        <f t="shared" si="32"/>
        <v>0</v>
      </c>
      <c r="G386" s="2"/>
      <c r="H386" s="12">
        <f t="shared" si="33"/>
        <v>0</v>
      </c>
      <c r="I386" s="2"/>
      <c r="J386" s="12">
        <v>5000</v>
      </c>
      <c r="K386" s="2"/>
      <c r="M386" t="s">
        <v>459</v>
      </c>
      <c r="N386" t="s">
        <v>463</v>
      </c>
    </row>
    <row r="387" spans="1:14" x14ac:dyDescent="0.25">
      <c r="A387" t="s">
        <v>191</v>
      </c>
      <c r="B387" t="s">
        <v>216</v>
      </c>
      <c r="C387" t="s">
        <v>217</v>
      </c>
      <c r="D387" s="56">
        <v>6500</v>
      </c>
      <c r="E387" s="2"/>
      <c r="F387" s="37">
        <f t="shared" si="32"/>
        <v>0</v>
      </c>
      <c r="G387" s="2"/>
      <c r="H387" s="12">
        <f t="shared" si="33"/>
        <v>0</v>
      </c>
      <c r="I387" s="2"/>
      <c r="J387" s="12">
        <v>6500</v>
      </c>
      <c r="K387" s="2"/>
      <c r="M387" t="s">
        <v>459</v>
      </c>
      <c r="N387" t="s">
        <v>463</v>
      </c>
    </row>
    <row r="388" spans="1:14" x14ac:dyDescent="0.25">
      <c r="A388" t="s">
        <v>191</v>
      </c>
      <c r="B388" t="s">
        <v>174</v>
      </c>
      <c r="C388" t="s">
        <v>175</v>
      </c>
      <c r="D388" s="56">
        <v>2500</v>
      </c>
      <c r="E388" s="2"/>
      <c r="F388" s="37">
        <f t="shared" si="32"/>
        <v>0.66666666666666663</v>
      </c>
      <c r="G388" s="2"/>
      <c r="H388" s="12">
        <f t="shared" si="33"/>
        <v>1000</v>
      </c>
      <c r="I388" s="2"/>
      <c r="J388" s="12">
        <v>1500</v>
      </c>
      <c r="K388" s="2"/>
      <c r="M388" t="s">
        <v>459</v>
      </c>
      <c r="N388" t="s">
        <v>463</v>
      </c>
    </row>
    <row r="389" spans="1:14" x14ac:dyDescent="0.25">
      <c r="A389" t="s">
        <v>191</v>
      </c>
      <c r="B389" t="s">
        <v>218</v>
      </c>
      <c r="C389" t="s">
        <v>219</v>
      </c>
      <c r="D389" s="56">
        <v>10000</v>
      </c>
      <c r="E389" s="2"/>
      <c r="F389" s="37">
        <f t="shared" si="32"/>
        <v>0.53846153846153844</v>
      </c>
      <c r="G389" s="2"/>
      <c r="H389" s="12">
        <f t="shared" si="33"/>
        <v>3500</v>
      </c>
      <c r="I389" s="2"/>
      <c r="J389" s="12">
        <v>6500</v>
      </c>
      <c r="K389" s="2"/>
      <c r="M389" t="s">
        <v>459</v>
      </c>
      <c r="N389" t="s">
        <v>463</v>
      </c>
    </row>
    <row r="390" spans="1:14" x14ac:dyDescent="0.25">
      <c r="A390" t="s">
        <v>191</v>
      </c>
      <c r="B390" t="s">
        <v>220</v>
      </c>
      <c r="C390" t="s">
        <v>221</v>
      </c>
      <c r="D390" s="56">
        <v>3000</v>
      </c>
      <c r="E390" s="2"/>
      <c r="F390" s="37">
        <f t="shared" si="32"/>
        <v>0</v>
      </c>
      <c r="G390" s="2"/>
      <c r="H390" s="12">
        <f t="shared" si="33"/>
        <v>0</v>
      </c>
      <c r="I390" s="2"/>
      <c r="J390" s="12">
        <v>3000</v>
      </c>
      <c r="K390" s="2"/>
      <c r="M390" t="s">
        <v>459</v>
      </c>
      <c r="N390" t="s">
        <v>463</v>
      </c>
    </row>
    <row r="391" spans="1:14" x14ac:dyDescent="0.25">
      <c r="A391" t="s">
        <v>191</v>
      </c>
      <c r="B391" t="s">
        <v>222</v>
      </c>
      <c r="C391" t="s">
        <v>223</v>
      </c>
      <c r="D391" s="56">
        <v>35000</v>
      </c>
      <c r="E391" s="2"/>
      <c r="F391" s="37">
        <f t="shared" si="32"/>
        <v>0</v>
      </c>
      <c r="G391" s="2"/>
      <c r="H391" s="12">
        <f t="shared" si="33"/>
        <v>0</v>
      </c>
      <c r="I391" s="2"/>
      <c r="J391" s="12">
        <v>35000</v>
      </c>
      <c r="K391" s="2"/>
      <c r="M391" t="s">
        <v>459</v>
      </c>
      <c r="N391" t="s">
        <v>463</v>
      </c>
    </row>
    <row r="392" spans="1:14" x14ac:dyDescent="0.25">
      <c r="A392" t="s">
        <v>191</v>
      </c>
      <c r="B392" t="s">
        <v>71</v>
      </c>
      <c r="C392" t="s">
        <v>72</v>
      </c>
      <c r="D392" s="56">
        <f>185500+250000</f>
        <v>435500</v>
      </c>
      <c r="E392" s="2"/>
      <c r="F392" s="37">
        <f t="shared" si="32"/>
        <v>2.3320581484315226</v>
      </c>
      <c r="G392" s="2"/>
      <c r="H392" s="12">
        <f t="shared" si="33"/>
        <v>304800</v>
      </c>
      <c r="I392" s="2"/>
      <c r="J392" s="12">
        <v>130700</v>
      </c>
      <c r="K392" s="2"/>
      <c r="L392" t="s">
        <v>440</v>
      </c>
      <c r="M392" t="s">
        <v>459</v>
      </c>
      <c r="N392" t="s">
        <v>465</v>
      </c>
    </row>
    <row r="393" spans="1:14" x14ac:dyDescent="0.25">
      <c r="A393" t="s">
        <v>191</v>
      </c>
      <c r="B393" t="s">
        <v>224</v>
      </c>
      <c r="C393" t="s">
        <v>225</v>
      </c>
      <c r="D393" s="55">
        <v>435025</v>
      </c>
      <c r="E393" s="2"/>
      <c r="F393" s="37">
        <f t="shared" si="32"/>
        <v>-8.4157894736842112E-2</v>
      </c>
      <c r="G393" s="2"/>
      <c r="H393" s="12">
        <f t="shared" si="33"/>
        <v>-39975</v>
      </c>
      <c r="I393" s="2"/>
      <c r="J393" s="12">
        <v>475000</v>
      </c>
      <c r="K393" s="2"/>
      <c r="M393" t="s">
        <v>459</v>
      </c>
      <c r="N393" t="s">
        <v>465</v>
      </c>
    </row>
    <row r="394" spans="1:14" x14ac:dyDescent="0.25">
      <c r="D394" s="2"/>
      <c r="E394" s="2"/>
      <c r="F394" s="2"/>
      <c r="G394" s="2"/>
      <c r="H394" s="2"/>
      <c r="I394" s="2"/>
      <c r="K394" s="2"/>
    </row>
    <row r="395" spans="1:14" x14ac:dyDescent="0.25">
      <c r="A395" t="s">
        <v>5</v>
      </c>
      <c r="B395" t="s">
        <v>5</v>
      </c>
      <c r="C395" s="1" t="s">
        <v>384</v>
      </c>
      <c r="D395" s="8">
        <f>SUM(D345:D393)</f>
        <v>2219252.16</v>
      </c>
      <c r="E395" s="2"/>
      <c r="F395" s="15">
        <f>H395/J395</f>
        <v>0.21177243763002279</v>
      </c>
      <c r="G395" s="2"/>
      <c r="H395" s="8">
        <f>SUM(H345:H393)</f>
        <v>387842.16000000003</v>
      </c>
      <c r="I395" s="2"/>
      <c r="J395" s="8">
        <f>SUM(J345:J393)</f>
        <v>1831410</v>
      </c>
      <c r="K395" s="2"/>
    </row>
    <row r="396" spans="1:14" x14ac:dyDescent="0.25">
      <c r="D396" s="2"/>
      <c r="E396" s="2"/>
      <c r="F396" s="2"/>
      <c r="G396" s="2"/>
      <c r="H396" s="2"/>
      <c r="I396" s="2"/>
      <c r="K396" s="2"/>
    </row>
    <row r="397" spans="1:14" x14ac:dyDescent="0.25">
      <c r="A397" t="s">
        <v>226</v>
      </c>
      <c r="B397" t="s">
        <v>61</v>
      </c>
      <c r="C397" t="s">
        <v>75</v>
      </c>
      <c r="D397" s="12">
        <v>65000</v>
      </c>
      <c r="E397" s="2"/>
      <c r="F397" s="37">
        <f t="shared" ref="F397:F403" si="34">H397/J397</f>
        <v>0</v>
      </c>
      <c r="G397" s="2"/>
      <c r="H397" s="12">
        <f t="shared" ref="H397:H403" si="35">D397-J397</f>
        <v>0</v>
      </c>
      <c r="I397" s="2"/>
      <c r="J397" s="12">
        <v>65000</v>
      </c>
      <c r="K397" s="2"/>
      <c r="M397" t="s">
        <v>459</v>
      </c>
      <c r="N397" t="s">
        <v>462</v>
      </c>
    </row>
    <row r="398" spans="1:14" x14ac:dyDescent="0.25">
      <c r="A398" t="s">
        <v>226</v>
      </c>
      <c r="B398" t="s">
        <v>9</v>
      </c>
      <c r="C398" t="s">
        <v>10</v>
      </c>
      <c r="D398" s="12">
        <f>ROUNDUP((5435.46),0)</f>
        <v>5436</v>
      </c>
      <c r="E398" s="2"/>
      <c r="F398" s="37">
        <f t="shared" si="34"/>
        <v>2.4383301707779887</v>
      </c>
      <c r="G398" s="2"/>
      <c r="H398" s="12">
        <f t="shared" si="35"/>
        <v>3855</v>
      </c>
      <c r="I398" s="2"/>
      <c r="J398" s="12">
        <v>1581</v>
      </c>
      <c r="K398" s="2"/>
      <c r="M398" t="s">
        <v>459</v>
      </c>
      <c r="N398" t="s">
        <v>462</v>
      </c>
    </row>
    <row r="399" spans="1:14" x14ac:dyDescent="0.25">
      <c r="A399" t="s">
        <v>226</v>
      </c>
      <c r="B399" t="s">
        <v>36</v>
      </c>
      <c r="C399" t="s">
        <v>37</v>
      </c>
      <c r="D399" s="12">
        <f>ROUNDUP((6630),0)</f>
        <v>6630</v>
      </c>
      <c r="E399" s="2"/>
      <c r="F399" s="37">
        <f t="shared" si="34"/>
        <v>0</v>
      </c>
      <c r="G399" s="2"/>
      <c r="H399" s="12">
        <f t="shared" si="35"/>
        <v>0</v>
      </c>
      <c r="I399" s="2"/>
      <c r="J399" s="12">
        <v>6630</v>
      </c>
      <c r="K399" s="2"/>
      <c r="M399" t="s">
        <v>459</v>
      </c>
      <c r="N399" t="s">
        <v>462</v>
      </c>
    </row>
    <row r="400" spans="1:14" x14ac:dyDescent="0.25">
      <c r="A400" t="s">
        <v>226</v>
      </c>
      <c r="B400" t="s">
        <v>11</v>
      </c>
      <c r="C400" t="s">
        <v>12</v>
      </c>
      <c r="D400" s="12">
        <f>ROUNDUP((4972.5),0)</f>
        <v>4973</v>
      </c>
      <c r="E400" s="2"/>
      <c r="F400" s="37">
        <f t="shared" si="34"/>
        <v>0</v>
      </c>
      <c r="G400" s="2"/>
      <c r="H400" s="12">
        <f t="shared" si="35"/>
        <v>0</v>
      </c>
      <c r="I400" s="2"/>
      <c r="J400" s="12">
        <v>4973</v>
      </c>
      <c r="K400" s="2"/>
      <c r="M400" t="s">
        <v>459</v>
      </c>
      <c r="N400" t="s">
        <v>462</v>
      </c>
    </row>
    <row r="401" spans="1:14" x14ac:dyDescent="0.25">
      <c r="A401" t="s">
        <v>226</v>
      </c>
      <c r="B401" t="s">
        <v>227</v>
      </c>
      <c r="C401" t="s">
        <v>228</v>
      </c>
      <c r="D401" s="12">
        <v>312000</v>
      </c>
      <c r="E401" s="2"/>
      <c r="F401" s="37">
        <f t="shared" si="34"/>
        <v>0.62205158331990285</v>
      </c>
      <c r="G401" s="2"/>
      <c r="H401" s="12">
        <f t="shared" si="35"/>
        <v>119651</v>
      </c>
      <c r="I401" s="2"/>
      <c r="J401" s="12">
        <v>192349</v>
      </c>
      <c r="K401" s="2"/>
      <c r="L401" t="s">
        <v>385</v>
      </c>
      <c r="M401" t="s">
        <v>459</v>
      </c>
      <c r="N401" t="s">
        <v>463</v>
      </c>
    </row>
    <row r="402" spans="1:14" x14ac:dyDescent="0.25">
      <c r="A402" t="s">
        <v>226</v>
      </c>
      <c r="B402" t="s">
        <v>169</v>
      </c>
      <c r="C402" t="s">
        <v>170</v>
      </c>
      <c r="D402" s="12">
        <v>55000</v>
      </c>
      <c r="E402" s="2"/>
      <c r="F402" s="37">
        <f t="shared" si="34"/>
        <v>0.5714285714285714</v>
      </c>
      <c r="G402" s="2"/>
      <c r="H402" s="12">
        <f t="shared" si="35"/>
        <v>20000</v>
      </c>
      <c r="I402" s="2"/>
      <c r="J402" s="12">
        <v>35000</v>
      </c>
      <c r="K402" s="2"/>
      <c r="M402" t="s">
        <v>459</v>
      </c>
      <c r="N402" t="s">
        <v>463</v>
      </c>
    </row>
    <row r="403" spans="1:14" x14ac:dyDescent="0.25">
      <c r="A403" t="s">
        <v>226</v>
      </c>
      <c r="B403" t="s">
        <v>51</v>
      </c>
      <c r="C403" t="s">
        <v>52</v>
      </c>
      <c r="D403" s="12">
        <v>50000</v>
      </c>
      <c r="E403" s="2"/>
      <c r="F403" s="37">
        <f t="shared" si="34"/>
        <v>0</v>
      </c>
      <c r="G403" s="2"/>
      <c r="H403" s="12">
        <f t="shared" si="35"/>
        <v>0</v>
      </c>
      <c r="I403" s="2"/>
      <c r="J403" s="12">
        <v>50000</v>
      </c>
      <c r="K403" s="2"/>
      <c r="M403" t="s">
        <v>459</v>
      </c>
      <c r="N403" t="s">
        <v>464</v>
      </c>
    </row>
    <row r="404" spans="1:14" x14ac:dyDescent="0.25">
      <c r="D404" s="2"/>
      <c r="E404" s="2"/>
      <c r="F404" s="2"/>
      <c r="G404" s="2"/>
      <c r="H404" s="2"/>
      <c r="I404" s="2"/>
      <c r="K404" s="2"/>
    </row>
    <row r="405" spans="1:14" x14ac:dyDescent="0.25">
      <c r="A405" t="s">
        <v>5</v>
      </c>
      <c r="B405" t="s">
        <v>5</v>
      </c>
      <c r="C405" s="1" t="s">
        <v>383</v>
      </c>
      <c r="D405" s="8">
        <f>SUM(D397:D403)</f>
        <v>499039</v>
      </c>
      <c r="E405" s="2"/>
      <c r="F405" s="15">
        <f>H405/J405</f>
        <v>0.40363623067338333</v>
      </c>
      <c r="G405" s="2"/>
      <c r="H405" s="8">
        <f>SUM(H397:H403)</f>
        <v>143506</v>
      </c>
      <c r="I405" s="2"/>
      <c r="J405" s="8">
        <f>SUM(J397:J403)</f>
        <v>355533</v>
      </c>
      <c r="K405" s="2"/>
    </row>
    <row r="406" spans="1:14" x14ac:dyDescent="0.25">
      <c r="D406" s="2"/>
      <c r="E406" s="2"/>
      <c r="F406" s="2"/>
      <c r="G406" s="2"/>
      <c r="H406" s="2"/>
      <c r="I406" s="2"/>
      <c r="K406" s="2"/>
    </row>
    <row r="407" spans="1:14" x14ac:dyDescent="0.25">
      <c r="A407" t="s">
        <v>229</v>
      </c>
      <c r="B407" t="s">
        <v>30</v>
      </c>
      <c r="C407" t="s">
        <v>31</v>
      </c>
      <c r="D407" s="47">
        <v>230496.88</v>
      </c>
      <c r="E407" s="2"/>
      <c r="F407" s="37">
        <f>H407/J407</f>
        <v>8.1550885194517586E-2</v>
      </c>
      <c r="G407" s="2"/>
      <c r="H407" s="12">
        <f t="shared" ref="H407:H436" si="36">D407-J407</f>
        <v>17379.880000000005</v>
      </c>
      <c r="I407" s="2"/>
      <c r="J407" s="12">
        <v>213117</v>
      </c>
      <c r="K407" s="2"/>
      <c r="M407" t="s">
        <v>459</v>
      </c>
      <c r="N407" t="s">
        <v>462</v>
      </c>
    </row>
    <row r="408" spans="1:14" x14ac:dyDescent="0.25">
      <c r="A408" t="s">
        <v>229</v>
      </c>
      <c r="B408" t="s">
        <v>141</v>
      </c>
      <c r="C408" t="s">
        <v>230</v>
      </c>
      <c r="D408" s="47">
        <v>5600</v>
      </c>
      <c r="E408" s="2"/>
      <c r="F408" s="37">
        <f>H408/J408</f>
        <v>0</v>
      </c>
      <c r="G408" s="2"/>
      <c r="H408" s="12">
        <f t="shared" si="36"/>
        <v>0</v>
      </c>
      <c r="I408" s="2"/>
      <c r="J408" s="12">
        <v>5600</v>
      </c>
      <c r="K408" s="2"/>
      <c r="M408" t="s">
        <v>459</v>
      </c>
      <c r="N408" t="s">
        <v>462</v>
      </c>
    </row>
    <row r="409" spans="1:14" x14ac:dyDescent="0.25">
      <c r="A409" t="s">
        <v>229</v>
      </c>
      <c r="B409" t="s">
        <v>61</v>
      </c>
      <c r="C409" t="s">
        <v>62</v>
      </c>
      <c r="D409" s="47">
        <v>0</v>
      </c>
      <c r="E409" s="2"/>
      <c r="F409" s="37">
        <v>0</v>
      </c>
      <c r="G409" s="2"/>
      <c r="H409" s="12">
        <f t="shared" si="36"/>
        <v>0</v>
      </c>
      <c r="I409" s="2"/>
      <c r="J409" s="12">
        <v>0</v>
      </c>
      <c r="K409" s="2"/>
      <c r="M409" t="s">
        <v>459</v>
      </c>
      <c r="N409" t="s">
        <v>462</v>
      </c>
    </row>
    <row r="410" spans="1:14" x14ac:dyDescent="0.25">
      <c r="A410" t="s">
        <v>229</v>
      </c>
      <c r="B410" t="s">
        <v>34</v>
      </c>
      <c r="C410" t="s">
        <v>35</v>
      </c>
      <c r="D410" s="47">
        <f>ROUNDUP((411.6),0)</f>
        <v>412</v>
      </c>
      <c r="E410" s="2"/>
      <c r="F410" s="37">
        <f t="shared" ref="F410:F436" si="37">H410/J410</f>
        <v>-0.14166666666666666</v>
      </c>
      <c r="G410" s="2"/>
      <c r="H410" s="12">
        <f t="shared" si="36"/>
        <v>-68</v>
      </c>
      <c r="I410" s="2"/>
      <c r="J410" s="12">
        <v>480</v>
      </c>
      <c r="K410" s="2"/>
      <c r="M410" t="s">
        <v>459</v>
      </c>
      <c r="N410" t="s">
        <v>462</v>
      </c>
    </row>
    <row r="411" spans="1:14" x14ac:dyDescent="0.25">
      <c r="A411" t="s">
        <v>229</v>
      </c>
      <c r="B411" t="s">
        <v>9</v>
      </c>
      <c r="C411" t="s">
        <v>10</v>
      </c>
      <c r="D411" s="47">
        <v>12257.56</v>
      </c>
      <c r="E411" s="2"/>
      <c r="F411" s="37">
        <f t="shared" si="37"/>
        <v>0.72495918941739368</v>
      </c>
      <c r="G411" s="2"/>
      <c r="H411" s="12">
        <f t="shared" si="36"/>
        <v>5151.5599999999995</v>
      </c>
      <c r="I411" s="2"/>
      <c r="J411" s="12">
        <v>7106</v>
      </c>
      <c r="K411" s="2"/>
      <c r="M411" t="s">
        <v>459</v>
      </c>
      <c r="N411" t="s">
        <v>462</v>
      </c>
    </row>
    <row r="412" spans="1:14" x14ac:dyDescent="0.25">
      <c r="A412" t="s">
        <v>229</v>
      </c>
      <c r="B412" t="s">
        <v>36</v>
      </c>
      <c r="C412" t="s">
        <v>37</v>
      </c>
      <c r="D412" s="47">
        <f>ROUNDUP((23051.79),0)</f>
        <v>23052</v>
      </c>
      <c r="E412" s="2"/>
      <c r="F412" s="37">
        <f t="shared" si="37"/>
        <v>6.0447143251449079E-2</v>
      </c>
      <c r="G412" s="2"/>
      <c r="H412" s="12">
        <f t="shared" si="36"/>
        <v>1314</v>
      </c>
      <c r="I412" s="2"/>
      <c r="J412" s="12">
        <v>21738</v>
      </c>
      <c r="K412" s="2"/>
      <c r="M412" t="s">
        <v>459</v>
      </c>
      <c r="N412" t="s">
        <v>462</v>
      </c>
    </row>
    <row r="413" spans="1:14" x14ac:dyDescent="0.25">
      <c r="A413" t="s">
        <v>229</v>
      </c>
      <c r="B413" t="s">
        <v>38</v>
      </c>
      <c r="C413" t="s">
        <v>39</v>
      </c>
      <c r="D413" s="47">
        <v>51367.16</v>
      </c>
      <c r="E413" s="2"/>
      <c r="F413" s="37">
        <f t="shared" si="37"/>
        <v>1.5000790388871393E-2</v>
      </c>
      <c r="G413" s="2"/>
      <c r="H413" s="12">
        <f t="shared" si="36"/>
        <v>759.16000000000349</v>
      </c>
      <c r="I413" s="2"/>
      <c r="J413" s="12">
        <v>50608</v>
      </c>
      <c r="K413" s="2"/>
      <c r="M413" t="s">
        <v>459</v>
      </c>
      <c r="N413" t="s">
        <v>462</v>
      </c>
    </row>
    <row r="414" spans="1:14" x14ac:dyDescent="0.25">
      <c r="A414" t="s">
        <v>229</v>
      </c>
      <c r="B414" t="s">
        <v>11</v>
      </c>
      <c r="C414" t="s">
        <v>12</v>
      </c>
      <c r="D414" s="47">
        <v>17633.009999999998</v>
      </c>
      <c r="E414" s="2"/>
      <c r="F414" s="37">
        <f t="shared" si="37"/>
        <v>5.3849509921109158E-2</v>
      </c>
      <c r="G414" s="2"/>
      <c r="H414" s="12">
        <f t="shared" si="36"/>
        <v>901.0099999999984</v>
      </c>
      <c r="I414" s="2"/>
      <c r="J414" s="12">
        <v>16732</v>
      </c>
      <c r="K414" s="2"/>
      <c r="M414" t="s">
        <v>459</v>
      </c>
      <c r="N414" t="s">
        <v>462</v>
      </c>
    </row>
    <row r="415" spans="1:14" x14ac:dyDescent="0.25">
      <c r="A415" t="s">
        <v>229</v>
      </c>
      <c r="B415" t="s">
        <v>192</v>
      </c>
      <c r="C415" t="s">
        <v>193</v>
      </c>
      <c r="D415" s="47">
        <v>750</v>
      </c>
      <c r="E415" s="2"/>
      <c r="F415" s="37">
        <f t="shared" si="37"/>
        <v>0.5</v>
      </c>
      <c r="G415" s="2"/>
      <c r="H415" s="12">
        <f t="shared" si="36"/>
        <v>250</v>
      </c>
      <c r="I415" s="2"/>
      <c r="J415" s="12">
        <v>500</v>
      </c>
      <c r="K415" s="2"/>
      <c r="M415" t="s">
        <v>459</v>
      </c>
      <c r="N415" t="s">
        <v>462</v>
      </c>
    </row>
    <row r="416" spans="1:14" x14ac:dyDescent="0.25">
      <c r="A416" t="s">
        <v>229</v>
      </c>
      <c r="B416" t="s">
        <v>13</v>
      </c>
      <c r="C416" t="s">
        <v>14</v>
      </c>
      <c r="D416" s="47">
        <v>500</v>
      </c>
      <c r="E416" s="2"/>
      <c r="F416" s="37">
        <f t="shared" si="37"/>
        <v>0</v>
      </c>
      <c r="G416" s="2"/>
      <c r="H416" s="12">
        <f t="shared" si="36"/>
        <v>0</v>
      </c>
      <c r="I416" s="2"/>
      <c r="J416" s="12">
        <v>500</v>
      </c>
      <c r="K416" s="2"/>
      <c r="M416" t="s">
        <v>459</v>
      </c>
      <c r="N416" t="s">
        <v>463</v>
      </c>
    </row>
    <row r="417" spans="1:14" x14ac:dyDescent="0.25">
      <c r="A417" t="s">
        <v>229</v>
      </c>
      <c r="B417" t="s">
        <v>15</v>
      </c>
      <c r="C417" t="s">
        <v>16</v>
      </c>
      <c r="D417" s="47">
        <v>6000</v>
      </c>
      <c r="E417" s="2"/>
      <c r="F417" s="37">
        <f t="shared" si="37"/>
        <v>0</v>
      </c>
      <c r="G417" s="2"/>
      <c r="H417" s="12">
        <f t="shared" si="36"/>
        <v>0</v>
      </c>
      <c r="I417" s="2"/>
      <c r="J417" s="12">
        <v>6000</v>
      </c>
      <c r="K417" s="2"/>
      <c r="M417" t="s">
        <v>459</v>
      </c>
      <c r="N417" t="s">
        <v>463</v>
      </c>
    </row>
    <row r="418" spans="1:14" x14ac:dyDescent="0.25">
      <c r="A418" t="s">
        <v>229</v>
      </c>
      <c r="B418" t="s">
        <v>19</v>
      </c>
      <c r="C418" t="s">
        <v>20</v>
      </c>
      <c r="D418" s="47">
        <v>80</v>
      </c>
      <c r="E418" s="2"/>
      <c r="F418" s="37">
        <f t="shared" si="37"/>
        <v>0</v>
      </c>
      <c r="G418" s="2"/>
      <c r="H418" s="12">
        <f t="shared" si="36"/>
        <v>0</v>
      </c>
      <c r="I418" s="2"/>
      <c r="J418" s="12">
        <v>80</v>
      </c>
      <c r="K418" s="2"/>
      <c r="M418" t="s">
        <v>459</v>
      </c>
      <c r="N418" t="s">
        <v>463</v>
      </c>
    </row>
    <row r="419" spans="1:14" x14ac:dyDescent="0.25">
      <c r="A419" t="s">
        <v>229</v>
      </c>
      <c r="B419" t="s">
        <v>21</v>
      </c>
      <c r="C419" t="s">
        <v>22</v>
      </c>
      <c r="D419" s="47">
        <v>100</v>
      </c>
      <c r="E419" s="2"/>
      <c r="F419" s="37">
        <f t="shared" si="37"/>
        <v>0</v>
      </c>
      <c r="G419" s="2"/>
      <c r="H419" s="12">
        <f t="shared" si="36"/>
        <v>0</v>
      </c>
      <c r="I419" s="2"/>
      <c r="J419" s="12">
        <v>100</v>
      </c>
      <c r="K419" s="2"/>
      <c r="M419" t="s">
        <v>459</v>
      </c>
      <c r="N419" t="s">
        <v>463</v>
      </c>
    </row>
    <row r="420" spans="1:14" x14ac:dyDescent="0.25">
      <c r="A420" t="s">
        <v>229</v>
      </c>
      <c r="B420" t="s">
        <v>63</v>
      </c>
      <c r="C420" t="s">
        <v>64</v>
      </c>
      <c r="D420" s="47">
        <v>1500</v>
      </c>
      <c r="E420" s="2"/>
      <c r="F420" s="37">
        <f t="shared" si="37"/>
        <v>0</v>
      </c>
      <c r="G420" s="2"/>
      <c r="H420" s="12">
        <f t="shared" si="36"/>
        <v>0</v>
      </c>
      <c r="I420" s="2"/>
      <c r="J420" s="12">
        <v>1500</v>
      </c>
      <c r="K420" s="2"/>
      <c r="M420" t="s">
        <v>459</v>
      </c>
      <c r="N420" t="s">
        <v>463</v>
      </c>
    </row>
    <row r="421" spans="1:14" x14ac:dyDescent="0.25">
      <c r="A421" t="s">
        <v>229</v>
      </c>
      <c r="B421" t="s">
        <v>194</v>
      </c>
      <c r="C421" t="s">
        <v>195</v>
      </c>
      <c r="D421" s="47">
        <v>350</v>
      </c>
      <c r="E421" s="2"/>
      <c r="F421" s="37">
        <f t="shared" si="37"/>
        <v>0</v>
      </c>
      <c r="G421" s="2"/>
      <c r="H421" s="12">
        <f t="shared" si="36"/>
        <v>0</v>
      </c>
      <c r="I421" s="2"/>
      <c r="J421" s="12">
        <v>350</v>
      </c>
      <c r="K421" s="2"/>
      <c r="M421" t="s">
        <v>459</v>
      </c>
      <c r="N421" t="s">
        <v>462</v>
      </c>
    </row>
    <row r="422" spans="1:14" x14ac:dyDescent="0.25">
      <c r="A422" t="s">
        <v>229</v>
      </c>
      <c r="B422" t="s">
        <v>153</v>
      </c>
      <c r="C422" t="s">
        <v>154</v>
      </c>
      <c r="D422" s="47">
        <v>3500</v>
      </c>
      <c r="E422" s="2"/>
      <c r="F422" s="37">
        <f t="shared" si="37"/>
        <v>0</v>
      </c>
      <c r="G422" s="2"/>
      <c r="H422" s="12">
        <f t="shared" si="36"/>
        <v>0</v>
      </c>
      <c r="I422" s="2"/>
      <c r="J422" s="12">
        <v>3500</v>
      </c>
      <c r="K422" s="2"/>
      <c r="M422" t="s">
        <v>459</v>
      </c>
      <c r="N422" t="s">
        <v>462</v>
      </c>
    </row>
    <row r="423" spans="1:14" x14ac:dyDescent="0.25">
      <c r="A423" t="s">
        <v>229</v>
      </c>
      <c r="B423" t="s">
        <v>40</v>
      </c>
      <c r="C423" t="s">
        <v>137</v>
      </c>
      <c r="D423" s="47">
        <v>420</v>
      </c>
      <c r="E423" s="2"/>
      <c r="F423" s="37">
        <f t="shared" si="37"/>
        <v>0</v>
      </c>
      <c r="G423" s="2"/>
      <c r="H423" s="12">
        <f t="shared" si="36"/>
        <v>0</v>
      </c>
      <c r="I423" s="2"/>
      <c r="J423" s="12">
        <v>420</v>
      </c>
      <c r="K423" s="2"/>
      <c r="M423" t="s">
        <v>459</v>
      </c>
      <c r="N423" t="s">
        <v>462</v>
      </c>
    </row>
    <row r="424" spans="1:14" x14ac:dyDescent="0.25">
      <c r="A424" t="s">
        <v>229</v>
      </c>
      <c r="B424" t="s">
        <v>231</v>
      </c>
      <c r="C424" t="s">
        <v>232</v>
      </c>
      <c r="D424" s="47">
        <v>5000</v>
      </c>
      <c r="E424" s="2"/>
      <c r="F424" s="37">
        <f t="shared" si="37"/>
        <v>0</v>
      </c>
      <c r="G424" s="2"/>
      <c r="H424" s="12">
        <f t="shared" si="36"/>
        <v>0</v>
      </c>
      <c r="I424" s="2"/>
      <c r="J424" s="12">
        <v>5000</v>
      </c>
      <c r="K424" s="2"/>
      <c r="M424" t="s">
        <v>459</v>
      </c>
      <c r="N424" t="s">
        <v>463</v>
      </c>
    </row>
    <row r="425" spans="1:14" x14ac:dyDescent="0.25">
      <c r="A425" t="s">
        <v>229</v>
      </c>
      <c r="B425" t="s">
        <v>169</v>
      </c>
      <c r="C425" t="s">
        <v>170</v>
      </c>
      <c r="D425" s="47">
        <v>10000</v>
      </c>
      <c r="E425" s="2"/>
      <c r="F425" s="37">
        <f t="shared" si="37"/>
        <v>0</v>
      </c>
      <c r="G425" s="2"/>
      <c r="H425" s="12">
        <f t="shared" si="36"/>
        <v>0</v>
      </c>
      <c r="I425" s="2"/>
      <c r="J425" s="12">
        <v>10000</v>
      </c>
      <c r="K425" s="2"/>
      <c r="M425" t="s">
        <v>459</v>
      </c>
      <c r="N425" t="s">
        <v>463</v>
      </c>
    </row>
    <row r="426" spans="1:14" x14ac:dyDescent="0.25">
      <c r="A426" t="s">
        <v>229</v>
      </c>
      <c r="B426" t="s">
        <v>157</v>
      </c>
      <c r="C426" t="s">
        <v>158</v>
      </c>
      <c r="D426" s="47">
        <v>6180</v>
      </c>
      <c r="E426" s="2"/>
      <c r="F426" s="37">
        <f t="shared" si="37"/>
        <v>0</v>
      </c>
      <c r="G426" s="2"/>
      <c r="H426" s="12">
        <f t="shared" si="36"/>
        <v>0</v>
      </c>
      <c r="I426" s="2"/>
      <c r="J426" s="12">
        <v>6180</v>
      </c>
      <c r="K426" s="2"/>
      <c r="M426" t="s">
        <v>459</v>
      </c>
      <c r="N426" t="s">
        <v>463</v>
      </c>
    </row>
    <row r="427" spans="1:14" x14ac:dyDescent="0.25">
      <c r="A427" t="s">
        <v>229</v>
      </c>
      <c r="B427" t="s">
        <v>159</v>
      </c>
      <c r="C427" t="s">
        <v>160</v>
      </c>
      <c r="D427" s="47">
        <v>5500</v>
      </c>
      <c r="E427" s="2"/>
      <c r="F427" s="37">
        <f t="shared" si="37"/>
        <v>0.22222222222222221</v>
      </c>
      <c r="G427" s="2"/>
      <c r="H427" s="12">
        <f t="shared" si="36"/>
        <v>1000</v>
      </c>
      <c r="I427" s="2"/>
      <c r="J427" s="12">
        <v>4500</v>
      </c>
      <c r="K427" s="2"/>
      <c r="M427" t="s">
        <v>459</v>
      </c>
      <c r="N427" t="s">
        <v>463</v>
      </c>
    </row>
    <row r="428" spans="1:14" x14ac:dyDescent="0.25">
      <c r="A428" t="s">
        <v>229</v>
      </c>
      <c r="B428" t="s">
        <v>23</v>
      </c>
      <c r="C428" t="s">
        <v>24</v>
      </c>
      <c r="D428" s="47">
        <v>250</v>
      </c>
      <c r="E428" s="2"/>
      <c r="F428" s="37">
        <f t="shared" si="37"/>
        <v>0</v>
      </c>
      <c r="G428" s="2"/>
      <c r="H428" s="12">
        <f t="shared" si="36"/>
        <v>0</v>
      </c>
      <c r="I428" s="2"/>
      <c r="J428" s="12">
        <v>250</v>
      </c>
      <c r="K428" s="2"/>
      <c r="M428" t="s">
        <v>459</v>
      </c>
      <c r="N428" t="s">
        <v>462</v>
      </c>
    </row>
    <row r="429" spans="1:14" x14ac:dyDescent="0.25">
      <c r="A429" t="s">
        <v>229</v>
      </c>
      <c r="B429" t="s">
        <v>44</v>
      </c>
      <c r="C429" t="s">
        <v>45</v>
      </c>
      <c r="D429" s="47">
        <v>250</v>
      </c>
      <c r="E429" s="2"/>
      <c r="F429" s="37">
        <f t="shared" si="37"/>
        <v>0</v>
      </c>
      <c r="G429" s="2"/>
      <c r="H429" s="12">
        <f t="shared" si="36"/>
        <v>0</v>
      </c>
      <c r="I429" s="2"/>
      <c r="J429" s="12">
        <v>250</v>
      </c>
      <c r="K429" s="2"/>
      <c r="M429" t="s">
        <v>459</v>
      </c>
      <c r="N429" t="s">
        <v>462</v>
      </c>
    </row>
    <row r="430" spans="1:14" x14ac:dyDescent="0.25">
      <c r="A430" t="s">
        <v>229</v>
      </c>
      <c r="B430" t="s">
        <v>206</v>
      </c>
      <c r="C430" t="s">
        <v>207</v>
      </c>
      <c r="D430" s="47">
        <v>1000</v>
      </c>
      <c r="E430" s="2"/>
      <c r="F430" s="37">
        <f t="shared" si="37"/>
        <v>0.42857142857142855</v>
      </c>
      <c r="G430" s="2"/>
      <c r="H430" s="12">
        <f t="shared" si="36"/>
        <v>300</v>
      </c>
      <c r="I430" s="2"/>
      <c r="J430" s="12">
        <v>700</v>
      </c>
      <c r="K430" s="2"/>
      <c r="M430" t="s">
        <v>459</v>
      </c>
      <c r="N430" t="s">
        <v>463</v>
      </c>
    </row>
    <row r="431" spans="1:14" x14ac:dyDescent="0.25">
      <c r="A431" t="s">
        <v>229</v>
      </c>
      <c r="B431" t="s">
        <v>121</v>
      </c>
      <c r="C431" t="s">
        <v>122</v>
      </c>
      <c r="D431" s="47">
        <f>2100*1.14</f>
        <v>2394</v>
      </c>
      <c r="E431" s="2"/>
      <c r="F431" s="37">
        <f t="shared" si="37"/>
        <v>0.14000000000000001</v>
      </c>
      <c r="G431" s="2"/>
      <c r="H431" s="12">
        <f t="shared" si="36"/>
        <v>294</v>
      </c>
      <c r="I431" s="2"/>
      <c r="J431" s="12">
        <v>2100</v>
      </c>
      <c r="K431" s="2"/>
      <c r="M431" t="s">
        <v>459</v>
      </c>
      <c r="N431" t="s">
        <v>463</v>
      </c>
    </row>
    <row r="432" spans="1:14" x14ac:dyDescent="0.25">
      <c r="A432" t="s">
        <v>229</v>
      </c>
      <c r="B432" t="s">
        <v>123</v>
      </c>
      <c r="C432" t="s">
        <v>124</v>
      </c>
      <c r="D432" s="47">
        <v>1512</v>
      </c>
      <c r="E432" s="2"/>
      <c r="F432" s="37">
        <f t="shared" si="37"/>
        <v>0</v>
      </c>
      <c r="G432" s="2"/>
      <c r="H432" s="12">
        <f t="shared" si="36"/>
        <v>0</v>
      </c>
      <c r="I432" s="2"/>
      <c r="J432" s="12">
        <v>1512</v>
      </c>
      <c r="K432" s="2"/>
      <c r="M432" t="s">
        <v>459</v>
      </c>
      <c r="N432" t="s">
        <v>463</v>
      </c>
    </row>
    <row r="433" spans="1:14" x14ac:dyDescent="0.25">
      <c r="A433" t="s">
        <v>229</v>
      </c>
      <c r="B433" t="s">
        <v>125</v>
      </c>
      <c r="C433" t="s">
        <v>126</v>
      </c>
      <c r="D433" s="47">
        <f>ROUNDUP((546*1.04),0)</f>
        <v>568</v>
      </c>
      <c r="E433" s="2"/>
      <c r="F433" s="37">
        <f t="shared" si="37"/>
        <v>4.0293040293040296E-2</v>
      </c>
      <c r="G433" s="2"/>
      <c r="H433" s="12">
        <f t="shared" si="36"/>
        <v>22</v>
      </c>
      <c r="I433" s="2"/>
      <c r="J433" s="12">
        <v>546</v>
      </c>
      <c r="K433" s="2"/>
      <c r="M433" t="s">
        <v>459</v>
      </c>
      <c r="N433" t="s">
        <v>463</v>
      </c>
    </row>
    <row r="434" spans="1:14" x14ac:dyDescent="0.25">
      <c r="A434" t="s">
        <v>229</v>
      </c>
      <c r="B434" t="s">
        <v>69</v>
      </c>
      <c r="C434" t="s">
        <v>70</v>
      </c>
      <c r="D434" s="47">
        <v>5000</v>
      </c>
      <c r="E434" s="2"/>
      <c r="F434" s="37">
        <f t="shared" si="37"/>
        <v>0</v>
      </c>
      <c r="G434" s="2"/>
      <c r="H434" s="12">
        <f t="shared" si="36"/>
        <v>0</v>
      </c>
      <c r="I434" s="2"/>
      <c r="J434" s="12">
        <v>5000</v>
      </c>
      <c r="K434" s="2"/>
      <c r="M434" t="s">
        <v>459</v>
      </c>
      <c r="N434" t="s">
        <v>463</v>
      </c>
    </row>
    <row r="435" spans="1:14" x14ac:dyDescent="0.25">
      <c r="A435" t="s">
        <v>229</v>
      </c>
      <c r="B435" t="s">
        <v>233</v>
      </c>
      <c r="C435" t="s">
        <v>234</v>
      </c>
      <c r="D435" s="47">
        <v>300000</v>
      </c>
      <c r="E435" s="2"/>
      <c r="F435" s="37">
        <f t="shared" si="37"/>
        <v>0</v>
      </c>
      <c r="G435" s="2"/>
      <c r="H435" s="12">
        <f t="shared" si="36"/>
        <v>0</v>
      </c>
      <c r="I435" s="2"/>
      <c r="J435" s="12">
        <v>300000</v>
      </c>
      <c r="K435" s="2"/>
      <c r="M435" t="s">
        <v>459</v>
      </c>
      <c r="N435" t="s">
        <v>464</v>
      </c>
    </row>
    <row r="436" spans="1:14" x14ac:dyDescent="0.25">
      <c r="A436" t="s">
        <v>229</v>
      </c>
      <c r="B436" t="s">
        <v>165</v>
      </c>
      <c r="C436" t="s">
        <v>166</v>
      </c>
      <c r="D436" s="47">
        <v>0</v>
      </c>
      <c r="E436" s="2"/>
      <c r="F436" s="37">
        <f t="shared" si="37"/>
        <v>-1</v>
      </c>
      <c r="G436" s="2"/>
      <c r="H436" s="12">
        <f t="shared" si="36"/>
        <v>-2500</v>
      </c>
      <c r="I436" s="2"/>
      <c r="J436" s="12">
        <v>2500</v>
      </c>
      <c r="K436" s="2"/>
      <c r="L436" t="s">
        <v>408</v>
      </c>
      <c r="M436" t="s">
        <v>459</v>
      </c>
      <c r="N436" t="s">
        <v>465</v>
      </c>
    </row>
    <row r="437" spans="1:14" x14ac:dyDescent="0.25">
      <c r="D437" s="2"/>
      <c r="E437" s="2"/>
      <c r="F437" s="2"/>
      <c r="G437" s="2"/>
      <c r="H437" s="2"/>
      <c r="I437" s="2"/>
      <c r="K437" s="2"/>
    </row>
    <row r="438" spans="1:14" x14ac:dyDescent="0.25">
      <c r="A438" t="s">
        <v>5</v>
      </c>
      <c r="B438" t="s">
        <v>5</v>
      </c>
      <c r="C438" s="1" t="s">
        <v>382</v>
      </c>
      <c r="D438" s="8">
        <f>SUM(D407:D436)</f>
        <v>691672.61</v>
      </c>
      <c r="E438" s="2"/>
      <c r="F438" s="15">
        <f>H438/J438</f>
        <v>3.7194126582582192E-2</v>
      </c>
      <c r="G438" s="2"/>
      <c r="H438" s="8">
        <f>SUM(H407:H436)</f>
        <v>24803.610000000004</v>
      </c>
      <c r="I438" s="2"/>
      <c r="J438" s="8">
        <f>SUM(J407:J436)</f>
        <v>666869</v>
      </c>
      <c r="K438" s="2"/>
    </row>
    <row r="439" spans="1:14" x14ac:dyDescent="0.25">
      <c r="D439" s="2"/>
      <c r="E439" s="2"/>
      <c r="F439" s="2"/>
      <c r="G439" s="2"/>
      <c r="H439" s="2"/>
      <c r="I439" s="2"/>
      <c r="K439" s="2"/>
    </row>
    <row r="440" spans="1:14" x14ac:dyDescent="0.25">
      <c r="A440" t="s">
        <v>235</v>
      </c>
      <c r="B440" t="s">
        <v>119</v>
      </c>
      <c r="C440" t="s">
        <v>120</v>
      </c>
      <c r="D440" s="12">
        <v>78000</v>
      </c>
      <c r="E440" s="2"/>
      <c r="F440" s="37">
        <f>H440/J440</f>
        <v>0</v>
      </c>
      <c r="G440" s="2"/>
      <c r="H440" s="12">
        <f>D440-J440</f>
        <v>0</v>
      </c>
      <c r="I440" s="2"/>
      <c r="J440" s="12">
        <v>78000</v>
      </c>
      <c r="K440" s="2"/>
      <c r="M440" t="s">
        <v>459</v>
      </c>
      <c r="N440" t="s">
        <v>463</v>
      </c>
    </row>
    <row r="441" spans="1:14" x14ac:dyDescent="0.25">
      <c r="A441" t="s">
        <v>235</v>
      </c>
      <c r="B441" t="s">
        <v>236</v>
      </c>
      <c r="C441" t="s">
        <v>237</v>
      </c>
      <c r="D441" s="12">
        <v>549500</v>
      </c>
      <c r="E441" s="2"/>
      <c r="F441" s="37">
        <f>H441/J441</f>
        <v>0.14479166666666668</v>
      </c>
      <c r="G441" s="2"/>
      <c r="H441" s="12">
        <f>D441-J441</f>
        <v>69500</v>
      </c>
      <c r="I441" s="2"/>
      <c r="J441" s="12">
        <v>480000</v>
      </c>
      <c r="K441" s="2"/>
      <c r="M441" t="s">
        <v>459</v>
      </c>
      <c r="N441" t="s">
        <v>464</v>
      </c>
    </row>
    <row r="442" spans="1:14" x14ac:dyDescent="0.25">
      <c r="A442" t="s">
        <v>235</v>
      </c>
      <c r="B442" t="s">
        <v>69</v>
      </c>
      <c r="C442" t="s">
        <v>70</v>
      </c>
      <c r="D442" s="12">
        <f>507.24+17000</f>
        <v>17507.240000000002</v>
      </c>
      <c r="E442" s="2"/>
      <c r="F442" s="37">
        <f>H442/J442</f>
        <v>2.9837647058823625E-2</v>
      </c>
      <c r="G442" s="2"/>
      <c r="H442" s="12">
        <f>D442-J442</f>
        <v>507.2400000000016</v>
      </c>
      <c r="I442" s="2"/>
      <c r="J442" s="12">
        <v>17000</v>
      </c>
      <c r="K442" s="2"/>
      <c r="L442" t="s">
        <v>455</v>
      </c>
      <c r="M442" t="s">
        <v>459</v>
      </c>
      <c r="N442" t="s">
        <v>463</v>
      </c>
    </row>
    <row r="443" spans="1:14" x14ac:dyDescent="0.25">
      <c r="D443" s="2"/>
      <c r="E443" s="2"/>
      <c r="F443" s="2"/>
      <c r="G443" s="2"/>
      <c r="H443" s="2"/>
      <c r="I443" s="2"/>
      <c r="K443" s="2"/>
    </row>
    <row r="444" spans="1:14" x14ac:dyDescent="0.25">
      <c r="A444" t="s">
        <v>5</v>
      </c>
      <c r="B444" t="s">
        <v>5</v>
      </c>
      <c r="C444" s="1" t="s">
        <v>381</v>
      </c>
      <c r="D444" s="8">
        <f>SUM(D440:D442)</f>
        <v>645007.24</v>
      </c>
      <c r="E444" s="2"/>
      <c r="F444" s="15">
        <f>H444/J444</f>
        <v>0.12175172173913044</v>
      </c>
      <c r="G444" s="2"/>
      <c r="H444" s="8">
        <f>SUM(H440:H442)</f>
        <v>70007.240000000005</v>
      </c>
      <c r="I444" s="2"/>
      <c r="J444" s="8">
        <f>SUM(J440:J442)</f>
        <v>575000</v>
      </c>
      <c r="K444" s="2"/>
    </row>
    <row r="445" spans="1:14" x14ac:dyDescent="0.25">
      <c r="D445" s="2"/>
      <c r="E445" s="2"/>
      <c r="F445" s="2"/>
      <c r="G445" s="2"/>
      <c r="H445" s="2"/>
      <c r="I445" s="2"/>
      <c r="K445" s="2"/>
    </row>
    <row r="446" spans="1:14" x14ac:dyDescent="0.25">
      <c r="A446" t="s">
        <v>238</v>
      </c>
      <c r="B446" t="s">
        <v>57</v>
      </c>
      <c r="C446" t="s">
        <v>58</v>
      </c>
      <c r="D446" s="12">
        <f>ROUNDUP((65852.8),0)</f>
        <v>65853</v>
      </c>
      <c r="E446" s="2"/>
      <c r="F446" s="37">
        <f t="shared" ref="F446:F464" si="38">H446/J446</f>
        <v>-0.15279814743342338</v>
      </c>
      <c r="G446" s="2"/>
      <c r="H446" s="12">
        <f t="shared" ref="H446:H464" si="39">D446-J446</f>
        <v>-11877</v>
      </c>
      <c r="I446" s="2"/>
      <c r="J446" s="12">
        <v>77730</v>
      </c>
      <c r="K446" s="2"/>
      <c r="L446" t="s">
        <v>355</v>
      </c>
      <c r="M446" t="s">
        <v>460</v>
      </c>
      <c r="N446" t="s">
        <v>462</v>
      </c>
    </row>
    <row r="447" spans="1:14" x14ac:dyDescent="0.25">
      <c r="A447" t="s">
        <v>238</v>
      </c>
      <c r="B447" t="s">
        <v>30</v>
      </c>
      <c r="C447" t="s">
        <v>31</v>
      </c>
      <c r="D447" s="12">
        <v>190606</v>
      </c>
      <c r="E447" s="2"/>
      <c r="F447" s="37">
        <f t="shared" si="38"/>
        <v>0.1290620668412136</v>
      </c>
      <c r="G447" s="2"/>
      <c r="H447" s="12">
        <f t="shared" si="39"/>
        <v>21788</v>
      </c>
      <c r="I447" s="2"/>
      <c r="J447" s="12">
        <v>168818</v>
      </c>
      <c r="K447" s="2"/>
      <c r="L447" t="s">
        <v>355</v>
      </c>
      <c r="M447" t="s">
        <v>460</v>
      </c>
      <c r="N447" t="s">
        <v>462</v>
      </c>
    </row>
    <row r="448" spans="1:14" x14ac:dyDescent="0.25">
      <c r="A448" t="s">
        <v>238</v>
      </c>
      <c r="B448" t="s">
        <v>34</v>
      </c>
      <c r="C448" t="s">
        <v>35</v>
      </c>
      <c r="D448" s="12">
        <f>ROUNDUP((314.34),0)</f>
        <v>315</v>
      </c>
      <c r="E448" s="2"/>
      <c r="F448" s="37">
        <f t="shared" si="38"/>
        <v>-0.15549597855227881</v>
      </c>
      <c r="G448" s="2"/>
      <c r="H448" s="12">
        <f t="shared" si="39"/>
        <v>-58</v>
      </c>
      <c r="I448" s="2"/>
      <c r="J448" s="12">
        <v>373</v>
      </c>
      <c r="K448" s="2"/>
      <c r="M448" t="s">
        <v>460</v>
      </c>
      <c r="N448" t="s">
        <v>462</v>
      </c>
    </row>
    <row r="449" spans="1:14" x14ac:dyDescent="0.25">
      <c r="A449" t="s">
        <v>238</v>
      </c>
      <c r="B449" t="s">
        <v>9</v>
      </c>
      <c r="C449" t="s">
        <v>10</v>
      </c>
      <c r="D449" s="12">
        <v>1371</v>
      </c>
      <c r="E449" s="2"/>
      <c r="F449" s="37">
        <f t="shared" si="38"/>
        <v>1.0931297709923664</v>
      </c>
      <c r="G449" s="2"/>
      <c r="H449" s="12">
        <f t="shared" si="39"/>
        <v>716</v>
      </c>
      <c r="I449" s="2"/>
      <c r="J449" s="12">
        <v>655</v>
      </c>
      <c r="K449" s="2"/>
      <c r="M449" t="s">
        <v>460</v>
      </c>
      <c r="N449" t="s">
        <v>462</v>
      </c>
    </row>
    <row r="450" spans="1:14" x14ac:dyDescent="0.25">
      <c r="A450" t="s">
        <v>238</v>
      </c>
      <c r="B450" t="s">
        <v>36</v>
      </c>
      <c r="C450" t="s">
        <v>37</v>
      </c>
      <c r="D450" s="12">
        <v>26158</v>
      </c>
      <c r="E450" s="2"/>
      <c r="F450" s="37">
        <f t="shared" si="38"/>
        <v>4.0162239541911879E-2</v>
      </c>
      <c r="G450" s="2"/>
      <c r="H450" s="12">
        <f t="shared" si="39"/>
        <v>1010</v>
      </c>
      <c r="I450" s="2"/>
      <c r="J450" s="12">
        <v>25148</v>
      </c>
      <c r="K450" s="2"/>
      <c r="M450" t="s">
        <v>460</v>
      </c>
      <c r="N450" t="s">
        <v>462</v>
      </c>
    </row>
    <row r="451" spans="1:14" x14ac:dyDescent="0.25">
      <c r="A451" t="s">
        <v>238</v>
      </c>
      <c r="B451" t="s">
        <v>38</v>
      </c>
      <c r="C451" t="s">
        <v>39</v>
      </c>
      <c r="D451" s="12">
        <v>103914</v>
      </c>
      <c r="E451" s="2"/>
      <c r="F451" s="37">
        <f t="shared" si="38"/>
        <v>0.19769023305133585</v>
      </c>
      <c r="G451" s="2"/>
      <c r="H451" s="12">
        <f t="shared" si="39"/>
        <v>17152</v>
      </c>
      <c r="I451" s="2"/>
      <c r="J451" s="12">
        <v>86762</v>
      </c>
      <c r="K451" s="2"/>
      <c r="M451" t="s">
        <v>460</v>
      </c>
      <c r="N451" t="s">
        <v>462</v>
      </c>
    </row>
    <row r="452" spans="1:14" x14ac:dyDescent="0.25">
      <c r="A452" t="s">
        <v>238</v>
      </c>
      <c r="B452" t="s">
        <v>11</v>
      </c>
      <c r="C452" t="s">
        <v>12</v>
      </c>
      <c r="D452" s="12">
        <v>19619</v>
      </c>
      <c r="E452" s="2"/>
      <c r="F452" s="37">
        <f t="shared" si="38"/>
        <v>4.0188749270982448E-2</v>
      </c>
      <c r="G452" s="2"/>
      <c r="H452" s="12">
        <f t="shared" si="39"/>
        <v>758</v>
      </c>
      <c r="I452" s="2"/>
      <c r="J452" s="12">
        <v>18861</v>
      </c>
      <c r="K452" s="2"/>
      <c r="M452" t="s">
        <v>460</v>
      </c>
      <c r="N452" t="s">
        <v>462</v>
      </c>
    </row>
    <row r="453" spans="1:14" x14ac:dyDescent="0.25">
      <c r="A453" t="s">
        <v>238</v>
      </c>
      <c r="B453" t="s">
        <v>13</v>
      </c>
      <c r="C453" t="s">
        <v>14</v>
      </c>
      <c r="D453" s="12">
        <f>3100-500</f>
        <v>2600</v>
      </c>
      <c r="E453" s="2"/>
      <c r="F453" s="37">
        <f t="shared" si="38"/>
        <v>-0.16129032258064516</v>
      </c>
      <c r="G453" s="2"/>
      <c r="H453" s="12">
        <f t="shared" si="39"/>
        <v>-500</v>
      </c>
      <c r="I453" s="2"/>
      <c r="J453" s="12">
        <v>3100</v>
      </c>
      <c r="K453" s="2"/>
      <c r="M453" t="s">
        <v>460</v>
      </c>
      <c r="N453" t="s">
        <v>463</v>
      </c>
    </row>
    <row r="454" spans="1:14" x14ac:dyDescent="0.25">
      <c r="A454" t="s">
        <v>238</v>
      </c>
      <c r="B454" t="s">
        <v>15</v>
      </c>
      <c r="C454" t="s">
        <v>16</v>
      </c>
      <c r="D454" s="12">
        <f>35000-1500</f>
        <v>33500</v>
      </c>
      <c r="E454" s="2"/>
      <c r="F454" s="37">
        <f t="shared" si="38"/>
        <v>6.3492063492063489E-2</v>
      </c>
      <c r="G454" s="2"/>
      <c r="H454" s="12">
        <f t="shared" si="39"/>
        <v>2000</v>
      </c>
      <c r="I454" s="2"/>
      <c r="J454" s="12">
        <v>31500</v>
      </c>
      <c r="K454" s="2"/>
      <c r="M454" t="s">
        <v>460</v>
      </c>
      <c r="N454" t="s">
        <v>463</v>
      </c>
    </row>
    <row r="455" spans="1:14" x14ac:dyDescent="0.25">
      <c r="A455" t="s">
        <v>238</v>
      </c>
      <c r="B455" t="s">
        <v>19</v>
      </c>
      <c r="C455" t="s">
        <v>20</v>
      </c>
      <c r="D455" s="12">
        <v>4420</v>
      </c>
      <c r="E455" s="2"/>
      <c r="F455" s="37">
        <f t="shared" si="38"/>
        <v>0.10087173100871731</v>
      </c>
      <c r="G455" s="2"/>
      <c r="H455" s="12">
        <f t="shared" si="39"/>
        <v>405</v>
      </c>
      <c r="I455" s="2"/>
      <c r="J455" s="12">
        <v>4015</v>
      </c>
      <c r="K455" s="2"/>
      <c r="M455" t="s">
        <v>460</v>
      </c>
      <c r="N455" t="s">
        <v>463</v>
      </c>
    </row>
    <row r="456" spans="1:14" x14ac:dyDescent="0.25">
      <c r="A456" t="s">
        <v>238</v>
      </c>
      <c r="B456" t="s">
        <v>63</v>
      </c>
      <c r="C456" t="s">
        <v>64</v>
      </c>
      <c r="D456" s="12">
        <v>250</v>
      </c>
      <c r="E456" s="2"/>
      <c r="F456" s="37">
        <f t="shared" si="38"/>
        <v>0</v>
      </c>
      <c r="G456" s="2"/>
      <c r="H456" s="12">
        <f t="shared" si="39"/>
        <v>0</v>
      </c>
      <c r="I456" s="2"/>
      <c r="J456" s="12">
        <v>250</v>
      </c>
      <c r="K456" s="2"/>
      <c r="M456" t="s">
        <v>460</v>
      </c>
      <c r="N456" t="s">
        <v>463</v>
      </c>
    </row>
    <row r="457" spans="1:14" x14ac:dyDescent="0.25">
      <c r="A457" t="s">
        <v>238</v>
      </c>
      <c r="B457" t="s">
        <v>40</v>
      </c>
      <c r="C457" t="s">
        <v>41</v>
      </c>
      <c r="D457" s="12">
        <v>420</v>
      </c>
      <c r="E457" s="2"/>
      <c r="F457" s="37">
        <f t="shared" si="38"/>
        <v>0</v>
      </c>
      <c r="G457" s="2"/>
      <c r="H457" s="12">
        <f t="shared" si="39"/>
        <v>0</v>
      </c>
      <c r="I457" s="2"/>
      <c r="J457" s="12">
        <v>420</v>
      </c>
      <c r="K457" s="2"/>
      <c r="M457" t="s">
        <v>460</v>
      </c>
      <c r="N457" t="s">
        <v>462</v>
      </c>
    </row>
    <row r="458" spans="1:14" x14ac:dyDescent="0.25">
      <c r="A458" t="s">
        <v>238</v>
      </c>
      <c r="B458" t="s">
        <v>23</v>
      </c>
      <c r="C458" t="s">
        <v>24</v>
      </c>
      <c r="D458" s="12">
        <v>400</v>
      </c>
      <c r="E458" s="2"/>
      <c r="F458" s="37">
        <f t="shared" si="38"/>
        <v>1.2857142857142858</v>
      </c>
      <c r="G458" s="2"/>
      <c r="H458" s="12">
        <f t="shared" si="39"/>
        <v>225</v>
      </c>
      <c r="I458" s="2"/>
      <c r="J458" s="12">
        <v>175</v>
      </c>
      <c r="K458" s="2"/>
      <c r="M458" t="s">
        <v>460</v>
      </c>
      <c r="N458" t="s">
        <v>462</v>
      </c>
    </row>
    <row r="459" spans="1:14" x14ac:dyDescent="0.25">
      <c r="A459" t="s">
        <v>238</v>
      </c>
      <c r="B459" t="s">
        <v>42</v>
      </c>
      <c r="C459" t="s">
        <v>43</v>
      </c>
      <c r="D459" s="12">
        <v>170</v>
      </c>
      <c r="E459" s="2"/>
      <c r="F459" s="37">
        <f t="shared" si="38"/>
        <v>0.7</v>
      </c>
      <c r="G459" s="2"/>
      <c r="H459" s="12">
        <f t="shared" si="39"/>
        <v>70</v>
      </c>
      <c r="I459" s="2"/>
      <c r="J459" s="12">
        <v>100</v>
      </c>
      <c r="K459" s="2"/>
      <c r="M459" t="s">
        <v>460</v>
      </c>
      <c r="N459" t="s">
        <v>462</v>
      </c>
    </row>
    <row r="460" spans="1:14" x14ac:dyDescent="0.25">
      <c r="A460" t="s">
        <v>238</v>
      </c>
      <c r="B460" t="s">
        <v>44</v>
      </c>
      <c r="C460" t="s">
        <v>45</v>
      </c>
      <c r="D460" s="12">
        <v>150</v>
      </c>
      <c r="E460" s="2"/>
      <c r="F460" s="37">
        <f t="shared" si="38"/>
        <v>1</v>
      </c>
      <c r="G460" s="2"/>
      <c r="H460" s="12">
        <f t="shared" si="39"/>
        <v>75</v>
      </c>
      <c r="I460" s="2"/>
      <c r="J460" s="12">
        <v>75</v>
      </c>
      <c r="K460" s="2"/>
      <c r="M460" t="s">
        <v>460</v>
      </c>
      <c r="N460" t="s">
        <v>462</v>
      </c>
    </row>
    <row r="461" spans="1:14" x14ac:dyDescent="0.25">
      <c r="A461" t="s">
        <v>238</v>
      </c>
      <c r="B461" t="s">
        <v>121</v>
      </c>
      <c r="C461" t="s">
        <v>122</v>
      </c>
      <c r="D461" s="12">
        <f>ROUNDUP((274*1.14),0)</f>
        <v>313</v>
      </c>
      <c r="E461" s="2"/>
      <c r="F461" s="37">
        <f t="shared" si="38"/>
        <v>0.30416666666666664</v>
      </c>
      <c r="G461" s="2"/>
      <c r="H461" s="12">
        <f t="shared" si="39"/>
        <v>73</v>
      </c>
      <c r="I461" s="2"/>
      <c r="J461" s="12">
        <v>240</v>
      </c>
      <c r="K461" s="2"/>
      <c r="M461" t="s">
        <v>460</v>
      </c>
      <c r="N461" t="s">
        <v>463</v>
      </c>
    </row>
    <row r="462" spans="1:14" x14ac:dyDescent="0.25">
      <c r="A462" t="s">
        <v>238</v>
      </c>
      <c r="B462" t="s">
        <v>123</v>
      </c>
      <c r="C462" t="s">
        <v>124</v>
      </c>
      <c r="D462" s="12">
        <v>2420</v>
      </c>
      <c r="E462" s="2"/>
      <c r="F462" s="37">
        <f t="shared" si="38"/>
        <v>4.1339396444811904E-4</v>
      </c>
      <c r="G462" s="2"/>
      <c r="H462" s="12">
        <f t="shared" si="39"/>
        <v>1</v>
      </c>
      <c r="I462" s="2"/>
      <c r="J462" s="12">
        <v>2419</v>
      </c>
      <c r="K462" s="2"/>
      <c r="M462" t="s">
        <v>460</v>
      </c>
      <c r="N462" t="s">
        <v>463</v>
      </c>
    </row>
    <row r="463" spans="1:14" x14ac:dyDescent="0.25">
      <c r="A463" t="s">
        <v>238</v>
      </c>
      <c r="B463" t="s">
        <v>125</v>
      </c>
      <c r="C463" t="s">
        <v>126</v>
      </c>
      <c r="D463" s="12">
        <f>ROUNDUP((181*1.04),0)</f>
        <v>189</v>
      </c>
      <c r="E463" s="2"/>
      <c r="F463" s="37">
        <f t="shared" si="38"/>
        <v>4.4198895027624308E-2</v>
      </c>
      <c r="G463" s="2"/>
      <c r="H463" s="12">
        <f t="shared" si="39"/>
        <v>8</v>
      </c>
      <c r="I463" s="2"/>
      <c r="J463" s="12">
        <v>181</v>
      </c>
      <c r="K463" s="2"/>
      <c r="M463" t="s">
        <v>460</v>
      </c>
      <c r="N463" t="s">
        <v>463</v>
      </c>
    </row>
    <row r="464" spans="1:14" x14ac:dyDescent="0.25">
      <c r="A464" t="s">
        <v>238</v>
      </c>
      <c r="B464" t="s">
        <v>69</v>
      </c>
      <c r="C464" t="s">
        <v>70</v>
      </c>
      <c r="D464" s="12">
        <v>1500</v>
      </c>
      <c r="E464" s="2"/>
      <c r="F464" s="37">
        <f t="shared" si="38"/>
        <v>-0.86784140969162993</v>
      </c>
      <c r="G464" s="2"/>
      <c r="H464" s="12">
        <f t="shared" si="39"/>
        <v>-9850</v>
      </c>
      <c r="I464" s="2"/>
      <c r="J464" s="12">
        <v>11350</v>
      </c>
      <c r="K464" s="2"/>
      <c r="M464" t="s">
        <v>460</v>
      </c>
      <c r="N464" t="s">
        <v>463</v>
      </c>
    </row>
    <row r="465" spans="1:14" x14ac:dyDescent="0.25">
      <c r="D465" s="2"/>
      <c r="E465" s="2"/>
      <c r="F465" s="2"/>
      <c r="G465" s="2"/>
      <c r="H465" s="2"/>
      <c r="I465" s="2"/>
      <c r="K465" s="2"/>
    </row>
    <row r="466" spans="1:14" x14ac:dyDescent="0.25">
      <c r="A466" t="s">
        <v>5</v>
      </c>
      <c r="B466" t="s">
        <v>5</v>
      </c>
      <c r="C466" s="1" t="s">
        <v>380</v>
      </c>
      <c r="D466" s="8">
        <f>SUM(D446:D464)</f>
        <v>454168</v>
      </c>
      <c r="E466" s="2"/>
      <c r="F466" s="15">
        <f>H466/J466</f>
        <v>5.0896402358320297E-2</v>
      </c>
      <c r="G466" s="2"/>
      <c r="H466" s="8">
        <f>SUM(H446:H464)</f>
        <v>21996</v>
      </c>
      <c r="I466" s="2"/>
      <c r="J466" s="8">
        <f>SUM(J446:J464)</f>
        <v>432172</v>
      </c>
      <c r="K466" s="2"/>
    </row>
    <row r="467" spans="1:14" x14ac:dyDescent="0.25">
      <c r="D467" s="2"/>
      <c r="E467" s="2"/>
      <c r="F467" s="2"/>
      <c r="G467" s="2"/>
      <c r="H467" s="2"/>
      <c r="I467" s="2"/>
      <c r="K467" s="2"/>
    </row>
    <row r="468" spans="1:14" x14ac:dyDescent="0.25">
      <c r="A468" t="s">
        <v>239</v>
      </c>
      <c r="B468" t="s">
        <v>57</v>
      </c>
      <c r="C468" t="s">
        <v>58</v>
      </c>
      <c r="D468" s="12">
        <f>ROUNDUP((92017.12),0)</f>
        <v>92018</v>
      </c>
      <c r="E468" s="2"/>
      <c r="F468" s="37">
        <f t="shared" ref="F468:F505" si="40">H468/J468</f>
        <v>2.8398359354918024E-2</v>
      </c>
      <c r="G468" s="2"/>
      <c r="H468" s="12">
        <f t="shared" ref="H468:H506" si="41">D468-J468</f>
        <v>2541</v>
      </c>
      <c r="I468" s="2"/>
      <c r="J468" s="12">
        <v>89477</v>
      </c>
      <c r="K468" s="2"/>
      <c r="L468" t="s">
        <v>386</v>
      </c>
      <c r="M468" t="s">
        <v>460</v>
      </c>
      <c r="N468" t="s">
        <v>462</v>
      </c>
    </row>
    <row r="469" spans="1:14" x14ac:dyDescent="0.25">
      <c r="A469" t="s">
        <v>239</v>
      </c>
      <c r="B469" t="s">
        <v>30</v>
      </c>
      <c r="C469" t="s">
        <v>31</v>
      </c>
      <c r="D469" s="12">
        <f>ROUNDUP((288203.81),0)</f>
        <v>288204</v>
      </c>
      <c r="E469" s="2"/>
      <c r="F469" s="37">
        <f t="shared" si="40"/>
        <v>7.1394317450994241E-2</v>
      </c>
      <c r="G469" s="2"/>
      <c r="H469" s="12">
        <f t="shared" si="41"/>
        <v>19205</v>
      </c>
      <c r="I469" s="2"/>
      <c r="J469" s="12">
        <v>268999</v>
      </c>
      <c r="K469" s="2"/>
      <c r="L469" t="s">
        <v>416</v>
      </c>
      <c r="M469" t="s">
        <v>460</v>
      </c>
      <c r="N469" t="s">
        <v>462</v>
      </c>
    </row>
    <row r="470" spans="1:14" x14ac:dyDescent="0.25">
      <c r="A470" t="s">
        <v>239</v>
      </c>
      <c r="B470" t="s">
        <v>59</v>
      </c>
      <c r="C470" t="s">
        <v>60</v>
      </c>
      <c r="D470" s="12">
        <f>ROUNDUP((176737.52),0)</f>
        <v>176738</v>
      </c>
      <c r="E470" s="2"/>
      <c r="F470" s="37">
        <f t="shared" si="40"/>
        <v>6.7348688898819953E-2</v>
      </c>
      <c r="G470" s="2"/>
      <c r="H470" s="12">
        <f t="shared" si="41"/>
        <v>11152</v>
      </c>
      <c r="I470" s="2"/>
      <c r="J470" s="12">
        <v>165586</v>
      </c>
      <c r="K470" s="2"/>
      <c r="L470" t="s">
        <v>419</v>
      </c>
      <c r="M470" t="s">
        <v>460</v>
      </c>
      <c r="N470" t="s">
        <v>462</v>
      </c>
    </row>
    <row r="471" spans="1:14" x14ac:dyDescent="0.25">
      <c r="A471" t="s">
        <v>239</v>
      </c>
      <c r="B471" t="s">
        <v>61</v>
      </c>
      <c r="C471" t="s">
        <v>75</v>
      </c>
      <c r="D471" s="12">
        <v>5000</v>
      </c>
      <c r="E471" s="2"/>
      <c r="F471" s="37">
        <f t="shared" si="40"/>
        <v>0</v>
      </c>
      <c r="G471" s="2"/>
      <c r="H471" s="12">
        <f t="shared" si="41"/>
        <v>0</v>
      </c>
      <c r="I471" s="2"/>
      <c r="J471" s="12">
        <v>5000</v>
      </c>
      <c r="K471" s="2"/>
      <c r="M471" t="s">
        <v>460</v>
      </c>
      <c r="N471" t="s">
        <v>462</v>
      </c>
    </row>
    <row r="472" spans="1:14" x14ac:dyDescent="0.25">
      <c r="A472" t="s">
        <v>239</v>
      </c>
      <c r="B472" t="s">
        <v>34</v>
      </c>
      <c r="C472" t="s">
        <v>35</v>
      </c>
      <c r="D472" s="12">
        <f>ROUNDUP((1527.94),0)</f>
        <v>1528</v>
      </c>
      <c r="E472" s="2"/>
      <c r="F472" s="37">
        <f t="shared" si="40"/>
        <v>3.10752688172043</v>
      </c>
      <c r="G472" s="2"/>
      <c r="H472" s="12">
        <f t="shared" si="41"/>
        <v>1156</v>
      </c>
      <c r="I472" s="2"/>
      <c r="J472" s="12">
        <v>372</v>
      </c>
      <c r="K472" s="2"/>
      <c r="M472" t="s">
        <v>460</v>
      </c>
      <c r="N472" t="s">
        <v>462</v>
      </c>
    </row>
    <row r="473" spans="1:14" x14ac:dyDescent="0.25">
      <c r="A473" t="s">
        <v>239</v>
      </c>
      <c r="B473" t="s">
        <v>9</v>
      </c>
      <c r="C473" t="s">
        <v>10</v>
      </c>
      <c r="D473" s="12">
        <f>ROUNDUP((24967.42),0)</f>
        <v>24968</v>
      </c>
      <c r="E473" s="2"/>
      <c r="F473" s="37">
        <f t="shared" si="40"/>
        <v>0.51138014527845033</v>
      </c>
      <c r="G473" s="2"/>
      <c r="H473" s="12">
        <f t="shared" si="41"/>
        <v>8448</v>
      </c>
      <c r="I473" s="2"/>
      <c r="J473" s="12">
        <v>16520</v>
      </c>
      <c r="K473" s="2"/>
      <c r="M473" t="s">
        <v>460</v>
      </c>
      <c r="N473" t="s">
        <v>462</v>
      </c>
    </row>
    <row r="474" spans="1:14" x14ac:dyDescent="0.25">
      <c r="A474" t="s">
        <v>239</v>
      </c>
      <c r="B474" t="s">
        <v>36</v>
      </c>
      <c r="C474" t="s">
        <v>37</v>
      </c>
      <c r="D474" s="12">
        <f>ROUNDUP((30812.58),0)</f>
        <v>30813</v>
      </c>
      <c r="E474" s="2"/>
      <c r="F474" s="37">
        <f t="shared" si="40"/>
        <v>4.4614706580330205E-2</v>
      </c>
      <c r="G474" s="2"/>
      <c r="H474" s="12">
        <f t="shared" si="41"/>
        <v>1316</v>
      </c>
      <c r="I474" s="2"/>
      <c r="J474" s="12">
        <v>29497</v>
      </c>
      <c r="K474" s="2"/>
      <c r="M474" t="s">
        <v>460</v>
      </c>
      <c r="N474" t="s">
        <v>462</v>
      </c>
    </row>
    <row r="475" spans="1:14" x14ac:dyDescent="0.25">
      <c r="A475" t="s">
        <v>239</v>
      </c>
      <c r="B475" t="s">
        <v>38</v>
      </c>
      <c r="C475" t="s">
        <v>39</v>
      </c>
      <c r="D475" s="12">
        <f>ROUNDUP((72753.7),0)</f>
        <v>72754</v>
      </c>
      <c r="E475" s="2"/>
      <c r="F475" s="37">
        <f t="shared" si="40"/>
        <v>-0.29051635867180264</v>
      </c>
      <c r="G475" s="2"/>
      <c r="H475" s="12">
        <f t="shared" si="41"/>
        <v>-29791</v>
      </c>
      <c r="I475" s="2"/>
      <c r="J475" s="12">
        <v>102545</v>
      </c>
      <c r="K475" s="2"/>
      <c r="M475" t="s">
        <v>460</v>
      </c>
      <c r="N475" t="s">
        <v>462</v>
      </c>
    </row>
    <row r="476" spans="1:14" x14ac:dyDescent="0.25">
      <c r="A476" t="s">
        <v>239</v>
      </c>
      <c r="B476" t="s">
        <v>11</v>
      </c>
      <c r="C476" t="s">
        <v>12</v>
      </c>
      <c r="D476" s="12">
        <f>ROUNDUP((42989.82),0)</f>
        <v>42990</v>
      </c>
      <c r="E476" s="2"/>
      <c r="F476" s="37">
        <f t="shared" si="40"/>
        <v>6.2189607886739308E-2</v>
      </c>
      <c r="G476" s="2"/>
      <c r="H476" s="12">
        <f t="shared" si="41"/>
        <v>2517</v>
      </c>
      <c r="I476" s="2"/>
      <c r="J476" s="12">
        <v>40473</v>
      </c>
      <c r="K476" s="2"/>
      <c r="M476" t="s">
        <v>460</v>
      </c>
      <c r="N476" t="s">
        <v>462</v>
      </c>
    </row>
    <row r="477" spans="1:14" x14ac:dyDescent="0.25">
      <c r="A477" t="s">
        <v>239</v>
      </c>
      <c r="B477" t="s">
        <v>13</v>
      </c>
      <c r="C477" t="s">
        <v>14</v>
      </c>
      <c r="D477" s="12">
        <v>1800</v>
      </c>
      <c r="E477" s="2"/>
      <c r="F477" s="37">
        <f t="shared" si="40"/>
        <v>0.2</v>
      </c>
      <c r="G477" s="2"/>
      <c r="H477" s="12">
        <f t="shared" si="41"/>
        <v>300</v>
      </c>
      <c r="I477" s="2"/>
      <c r="J477" s="12">
        <v>1500</v>
      </c>
      <c r="K477" s="2"/>
      <c r="M477" t="s">
        <v>460</v>
      </c>
      <c r="N477" t="s">
        <v>463</v>
      </c>
    </row>
    <row r="478" spans="1:14" x14ac:dyDescent="0.25">
      <c r="A478" t="s">
        <v>239</v>
      </c>
      <c r="B478" t="s">
        <v>15</v>
      </c>
      <c r="C478" t="s">
        <v>16</v>
      </c>
      <c r="D478" s="12">
        <v>50000</v>
      </c>
      <c r="E478" s="2"/>
      <c r="F478" s="37">
        <f t="shared" si="40"/>
        <v>6.3829787234042548E-2</v>
      </c>
      <c r="G478" s="2"/>
      <c r="H478" s="12">
        <f t="shared" si="41"/>
        <v>3000</v>
      </c>
      <c r="I478" s="2"/>
      <c r="J478" s="12">
        <v>47000</v>
      </c>
      <c r="K478" s="2"/>
      <c r="M478" t="s">
        <v>460</v>
      </c>
      <c r="N478" t="s">
        <v>463</v>
      </c>
    </row>
    <row r="479" spans="1:14" x14ac:dyDescent="0.25">
      <c r="A479" t="s">
        <v>239</v>
      </c>
      <c r="B479" t="s">
        <v>19</v>
      </c>
      <c r="C479" t="s">
        <v>20</v>
      </c>
      <c r="D479" s="12">
        <v>200</v>
      </c>
      <c r="E479" s="2"/>
      <c r="F479" s="37">
        <f t="shared" si="40"/>
        <v>0</v>
      </c>
      <c r="G479" s="2"/>
      <c r="H479" s="12">
        <f t="shared" si="41"/>
        <v>0</v>
      </c>
      <c r="I479" s="2"/>
      <c r="J479" s="12">
        <v>200</v>
      </c>
      <c r="K479" s="2"/>
      <c r="M479" t="s">
        <v>460</v>
      </c>
      <c r="N479" t="s">
        <v>463</v>
      </c>
    </row>
    <row r="480" spans="1:14" x14ac:dyDescent="0.25">
      <c r="A480" t="s">
        <v>239</v>
      </c>
      <c r="B480" t="s">
        <v>21</v>
      </c>
      <c r="C480" t="s">
        <v>22</v>
      </c>
      <c r="D480" s="12">
        <v>1000</v>
      </c>
      <c r="E480" s="2"/>
      <c r="F480" s="37">
        <f t="shared" si="40"/>
        <v>0</v>
      </c>
      <c r="G480" s="2"/>
      <c r="H480" s="12">
        <f t="shared" si="41"/>
        <v>0</v>
      </c>
      <c r="I480" s="2"/>
      <c r="J480" s="12">
        <v>1000</v>
      </c>
      <c r="K480" s="2"/>
      <c r="M480" t="s">
        <v>460</v>
      </c>
      <c r="N480" t="s">
        <v>463</v>
      </c>
    </row>
    <row r="481" spans="1:14" x14ac:dyDescent="0.25">
      <c r="A481" t="s">
        <v>239</v>
      </c>
      <c r="B481" t="s">
        <v>153</v>
      </c>
      <c r="C481" t="s">
        <v>154</v>
      </c>
      <c r="D481" s="12">
        <v>1000</v>
      </c>
      <c r="E481" s="2"/>
      <c r="F481" s="37">
        <f t="shared" si="40"/>
        <v>0.25</v>
      </c>
      <c r="G481" s="2"/>
      <c r="H481" s="12">
        <f t="shared" si="41"/>
        <v>200</v>
      </c>
      <c r="I481" s="2"/>
      <c r="J481" s="12">
        <v>800</v>
      </c>
      <c r="K481" s="2"/>
      <c r="M481" t="s">
        <v>460</v>
      </c>
      <c r="N481" t="s">
        <v>462</v>
      </c>
    </row>
    <row r="482" spans="1:14" x14ac:dyDescent="0.25">
      <c r="A482" t="s">
        <v>239</v>
      </c>
      <c r="B482" t="s">
        <v>40</v>
      </c>
      <c r="C482" t="s">
        <v>41</v>
      </c>
      <c r="D482" s="12">
        <v>1250</v>
      </c>
      <c r="E482" s="2"/>
      <c r="F482" s="37">
        <f t="shared" si="40"/>
        <v>0.48809523809523808</v>
      </c>
      <c r="G482" s="2"/>
      <c r="H482" s="12">
        <f t="shared" si="41"/>
        <v>410</v>
      </c>
      <c r="I482" s="2"/>
      <c r="J482" s="12">
        <v>840</v>
      </c>
      <c r="K482" s="2"/>
      <c r="M482" t="s">
        <v>460</v>
      </c>
      <c r="N482" t="s">
        <v>462</v>
      </c>
    </row>
    <row r="483" spans="1:14" x14ac:dyDescent="0.25">
      <c r="A483" t="s">
        <v>239</v>
      </c>
      <c r="B483" t="s">
        <v>240</v>
      </c>
      <c r="C483" t="s">
        <v>241</v>
      </c>
      <c r="D483" s="12">
        <v>7500</v>
      </c>
      <c r="E483" s="2"/>
      <c r="F483" s="37">
        <f t="shared" si="40"/>
        <v>-4.4950974150006366E-2</v>
      </c>
      <c r="G483" s="2"/>
      <c r="H483" s="12">
        <f t="shared" si="41"/>
        <v>-353</v>
      </c>
      <c r="I483" s="2"/>
      <c r="J483" s="12">
        <v>7853</v>
      </c>
      <c r="K483" s="2"/>
      <c r="M483" t="s">
        <v>460</v>
      </c>
      <c r="N483" t="s">
        <v>463</v>
      </c>
    </row>
    <row r="484" spans="1:14" x14ac:dyDescent="0.25">
      <c r="A484" t="s">
        <v>239</v>
      </c>
      <c r="B484" t="s">
        <v>242</v>
      </c>
      <c r="C484" t="s">
        <v>243</v>
      </c>
      <c r="D484" s="12">
        <v>23000</v>
      </c>
      <c r="E484" s="2"/>
      <c r="F484" s="37">
        <f t="shared" si="40"/>
        <v>0.15</v>
      </c>
      <c r="G484" s="2"/>
      <c r="H484" s="12">
        <f t="shared" si="41"/>
        <v>3000</v>
      </c>
      <c r="I484" s="2"/>
      <c r="J484" s="12">
        <v>20000</v>
      </c>
      <c r="K484" s="2"/>
      <c r="M484" t="s">
        <v>460</v>
      </c>
      <c r="N484" t="s">
        <v>463</v>
      </c>
    </row>
    <row r="485" spans="1:14" x14ac:dyDescent="0.25">
      <c r="A485" t="s">
        <v>239</v>
      </c>
      <c r="B485" t="s">
        <v>244</v>
      </c>
      <c r="C485" t="s">
        <v>245</v>
      </c>
      <c r="D485" s="12">
        <v>3800</v>
      </c>
      <c r="E485" s="2"/>
      <c r="F485" s="37">
        <f t="shared" si="40"/>
        <v>0.26666666666666666</v>
      </c>
      <c r="G485" s="2"/>
      <c r="H485" s="12">
        <f t="shared" si="41"/>
        <v>800</v>
      </c>
      <c r="I485" s="2"/>
      <c r="J485" s="12">
        <v>3000</v>
      </c>
      <c r="K485" s="2"/>
      <c r="M485" t="s">
        <v>460</v>
      </c>
      <c r="N485" t="s">
        <v>463</v>
      </c>
    </row>
    <row r="486" spans="1:14" x14ac:dyDescent="0.25">
      <c r="A486" t="s">
        <v>239</v>
      </c>
      <c r="B486" t="s">
        <v>246</v>
      </c>
      <c r="C486" t="s">
        <v>247</v>
      </c>
      <c r="D486" s="12">
        <f>20000-12000</f>
        <v>8000</v>
      </c>
      <c r="E486" s="2"/>
      <c r="F486" s="37">
        <f t="shared" si="40"/>
        <v>0.58572844400396429</v>
      </c>
      <c r="G486" s="2"/>
      <c r="H486" s="12">
        <f t="shared" si="41"/>
        <v>2955</v>
      </c>
      <c r="I486" s="2"/>
      <c r="J486" s="12">
        <v>5045</v>
      </c>
      <c r="K486" s="2"/>
      <c r="L486" t="s">
        <v>418</v>
      </c>
      <c r="M486" t="s">
        <v>460</v>
      </c>
      <c r="N486" t="s">
        <v>463</v>
      </c>
    </row>
    <row r="487" spans="1:14" x14ac:dyDescent="0.25">
      <c r="A487" t="s">
        <v>239</v>
      </c>
      <c r="B487" t="s">
        <v>248</v>
      </c>
      <c r="C487" t="s">
        <v>249</v>
      </c>
      <c r="D487" s="12">
        <v>3800</v>
      </c>
      <c r="E487" s="2"/>
      <c r="F487" s="37">
        <f t="shared" si="40"/>
        <v>0</v>
      </c>
      <c r="G487" s="2"/>
      <c r="H487" s="12">
        <f t="shared" si="41"/>
        <v>0</v>
      </c>
      <c r="I487" s="2"/>
      <c r="J487" s="12">
        <v>3800</v>
      </c>
      <c r="K487" s="2"/>
      <c r="M487" t="s">
        <v>460</v>
      </c>
      <c r="N487" t="s">
        <v>463</v>
      </c>
    </row>
    <row r="488" spans="1:14" x14ac:dyDescent="0.25">
      <c r="A488" t="s">
        <v>239</v>
      </c>
      <c r="B488" t="s">
        <v>85</v>
      </c>
      <c r="C488" t="s">
        <v>86</v>
      </c>
      <c r="D488" s="12">
        <v>7600</v>
      </c>
      <c r="E488" s="2"/>
      <c r="F488" s="37">
        <f t="shared" si="40"/>
        <v>0</v>
      </c>
      <c r="G488" s="2"/>
      <c r="H488" s="12">
        <f t="shared" si="41"/>
        <v>0</v>
      </c>
      <c r="I488" s="2"/>
      <c r="J488" s="12">
        <v>7600</v>
      </c>
      <c r="K488" s="2"/>
      <c r="M488" t="s">
        <v>460</v>
      </c>
      <c r="N488" t="s">
        <v>463</v>
      </c>
    </row>
    <row r="489" spans="1:14" x14ac:dyDescent="0.25">
      <c r="A489" t="s">
        <v>239</v>
      </c>
      <c r="B489" t="s">
        <v>157</v>
      </c>
      <c r="C489" t="s">
        <v>158</v>
      </c>
      <c r="D489" s="12">
        <v>1800</v>
      </c>
      <c r="E489" s="2"/>
      <c r="F489" s="37">
        <f t="shared" si="40"/>
        <v>0</v>
      </c>
      <c r="G489" s="2"/>
      <c r="H489" s="12">
        <f t="shared" si="41"/>
        <v>0</v>
      </c>
      <c r="I489" s="2"/>
      <c r="J489" s="12">
        <v>1800</v>
      </c>
      <c r="K489" s="2"/>
      <c r="M489" t="s">
        <v>460</v>
      </c>
      <c r="N489" t="s">
        <v>463</v>
      </c>
    </row>
    <row r="490" spans="1:14" x14ac:dyDescent="0.25">
      <c r="A490" t="s">
        <v>239</v>
      </c>
      <c r="B490" t="s">
        <v>250</v>
      </c>
      <c r="C490" t="s">
        <v>251</v>
      </c>
      <c r="D490" s="12">
        <v>1000</v>
      </c>
      <c r="E490" s="2"/>
      <c r="F490" s="37">
        <f t="shared" si="40"/>
        <v>0</v>
      </c>
      <c r="G490" s="2"/>
      <c r="H490" s="12">
        <f t="shared" si="41"/>
        <v>0</v>
      </c>
      <c r="I490" s="2"/>
      <c r="J490" s="12">
        <v>1000</v>
      </c>
      <c r="K490" s="2"/>
      <c r="M490" t="s">
        <v>460</v>
      </c>
      <c r="N490" t="s">
        <v>462</v>
      </c>
    </row>
    <row r="491" spans="1:14" x14ac:dyDescent="0.25">
      <c r="A491" t="s">
        <v>239</v>
      </c>
      <c r="B491" t="s">
        <v>23</v>
      </c>
      <c r="C491" t="s">
        <v>24</v>
      </c>
      <c r="D491" s="12">
        <v>3000</v>
      </c>
      <c r="E491" s="2"/>
      <c r="F491" s="37">
        <f t="shared" si="40"/>
        <v>1</v>
      </c>
      <c r="G491" s="2"/>
      <c r="H491" s="12">
        <f t="shared" si="41"/>
        <v>1500</v>
      </c>
      <c r="I491" s="2"/>
      <c r="J491" s="12">
        <v>1500</v>
      </c>
      <c r="K491" s="2"/>
      <c r="M491" t="s">
        <v>460</v>
      </c>
      <c r="N491" t="s">
        <v>462</v>
      </c>
    </row>
    <row r="492" spans="1:14" x14ac:dyDescent="0.25">
      <c r="A492" t="s">
        <v>239</v>
      </c>
      <c r="B492" s="72">
        <v>50610</v>
      </c>
      <c r="C492" s="30" t="s">
        <v>388</v>
      </c>
      <c r="D492" s="12">
        <v>16000</v>
      </c>
      <c r="E492" s="2"/>
      <c r="F492" s="37">
        <v>1</v>
      </c>
      <c r="G492" s="2"/>
      <c r="H492" s="12">
        <f t="shared" si="41"/>
        <v>16000</v>
      </c>
      <c r="I492" s="2"/>
      <c r="J492" s="12">
        <v>0</v>
      </c>
      <c r="K492" s="2"/>
      <c r="L492" t="s">
        <v>417</v>
      </c>
      <c r="M492" t="s">
        <v>460</v>
      </c>
      <c r="N492" t="s">
        <v>464</v>
      </c>
    </row>
    <row r="493" spans="1:14" x14ac:dyDescent="0.25">
      <c r="A493" t="s">
        <v>239</v>
      </c>
      <c r="B493" t="s">
        <v>252</v>
      </c>
      <c r="C493" s="30" t="s">
        <v>253</v>
      </c>
      <c r="D493" s="12">
        <v>7500</v>
      </c>
      <c r="E493" s="2"/>
      <c r="F493" s="37">
        <f t="shared" si="40"/>
        <v>7.1428571428571425E-2</v>
      </c>
      <c r="G493" s="2"/>
      <c r="H493" s="12">
        <f t="shared" si="41"/>
        <v>500</v>
      </c>
      <c r="I493" s="2"/>
      <c r="J493" s="12">
        <v>7000</v>
      </c>
      <c r="K493" s="2"/>
      <c r="M493" t="s">
        <v>460</v>
      </c>
      <c r="N493" t="s">
        <v>464</v>
      </c>
    </row>
    <row r="494" spans="1:14" x14ac:dyDescent="0.25">
      <c r="A494" t="s">
        <v>239</v>
      </c>
      <c r="B494" t="s">
        <v>87</v>
      </c>
      <c r="C494" t="s">
        <v>88</v>
      </c>
      <c r="D494" s="16">
        <v>3000</v>
      </c>
      <c r="E494" s="2"/>
      <c r="F494" s="37">
        <f t="shared" si="40"/>
        <v>0</v>
      </c>
      <c r="G494" s="2"/>
      <c r="H494" s="12">
        <f t="shared" si="41"/>
        <v>0</v>
      </c>
      <c r="I494" s="2"/>
      <c r="J494" s="12">
        <v>3000</v>
      </c>
      <c r="K494" s="2"/>
      <c r="M494" t="s">
        <v>460</v>
      </c>
      <c r="N494" t="s">
        <v>463</v>
      </c>
    </row>
    <row r="495" spans="1:14" x14ac:dyDescent="0.25">
      <c r="A495" t="s">
        <v>239</v>
      </c>
      <c r="B495" t="s">
        <v>119</v>
      </c>
      <c r="C495" t="s">
        <v>120</v>
      </c>
      <c r="D495" s="16">
        <v>3000</v>
      </c>
      <c r="E495" s="2"/>
      <c r="F495" s="37">
        <f t="shared" si="40"/>
        <v>9</v>
      </c>
      <c r="G495" s="2"/>
      <c r="H495" s="12">
        <f t="shared" si="41"/>
        <v>2700</v>
      </c>
      <c r="I495" s="2"/>
      <c r="J495" s="12">
        <v>300</v>
      </c>
      <c r="K495" s="2"/>
      <c r="L495" t="s">
        <v>415</v>
      </c>
      <c r="M495" t="s">
        <v>460</v>
      </c>
      <c r="N495" t="s">
        <v>463</v>
      </c>
    </row>
    <row r="496" spans="1:14" x14ac:dyDescent="0.25">
      <c r="A496" t="s">
        <v>239</v>
      </c>
      <c r="B496" t="s">
        <v>121</v>
      </c>
      <c r="C496" t="s">
        <v>173</v>
      </c>
      <c r="D496" s="16">
        <f>ROUNDUP((4500*1.14),0)</f>
        <v>5130</v>
      </c>
      <c r="E496" s="2"/>
      <c r="F496" s="37">
        <f t="shared" si="40"/>
        <v>0.14000000000000001</v>
      </c>
      <c r="G496" s="2"/>
      <c r="H496" s="12">
        <f t="shared" si="41"/>
        <v>630</v>
      </c>
      <c r="I496" s="2"/>
      <c r="J496" s="12">
        <v>4500</v>
      </c>
      <c r="K496" s="2"/>
      <c r="M496" t="s">
        <v>460</v>
      </c>
      <c r="N496" t="s">
        <v>463</v>
      </c>
    </row>
    <row r="497" spans="1:14" x14ac:dyDescent="0.25">
      <c r="A497" t="s">
        <v>239</v>
      </c>
      <c r="B497" t="s">
        <v>123</v>
      </c>
      <c r="C497" t="s">
        <v>124</v>
      </c>
      <c r="D497" s="16">
        <v>3800</v>
      </c>
      <c r="E497" s="2"/>
      <c r="F497" s="37">
        <f t="shared" si="40"/>
        <v>-7.3145245559038665E-3</v>
      </c>
      <c r="G497" s="2"/>
      <c r="H497" s="12">
        <f t="shared" si="41"/>
        <v>-28</v>
      </c>
      <c r="I497" s="2"/>
      <c r="J497" s="12">
        <v>3828</v>
      </c>
      <c r="K497" s="2"/>
      <c r="M497" t="s">
        <v>460</v>
      </c>
      <c r="N497" t="s">
        <v>463</v>
      </c>
    </row>
    <row r="498" spans="1:14" x14ac:dyDescent="0.25">
      <c r="A498" t="s">
        <v>239</v>
      </c>
      <c r="B498" t="s">
        <v>125</v>
      </c>
      <c r="C498" t="s">
        <v>126</v>
      </c>
      <c r="D498" s="16">
        <v>1000</v>
      </c>
      <c r="E498" s="2"/>
      <c r="F498" s="37">
        <f t="shared" si="40"/>
        <v>0.29366106080206988</v>
      </c>
      <c r="G498" s="2"/>
      <c r="H498" s="12">
        <f t="shared" si="41"/>
        <v>227</v>
      </c>
      <c r="I498" s="2"/>
      <c r="J498" s="12">
        <v>773</v>
      </c>
      <c r="K498" s="2"/>
      <c r="M498" t="s">
        <v>460</v>
      </c>
      <c r="N498" t="s">
        <v>463</v>
      </c>
    </row>
    <row r="499" spans="1:14" x14ac:dyDescent="0.25">
      <c r="A499" t="s">
        <v>239</v>
      </c>
      <c r="B499" t="s">
        <v>254</v>
      </c>
      <c r="C499" t="s">
        <v>255</v>
      </c>
      <c r="D499" s="16">
        <v>2200</v>
      </c>
      <c r="E499" s="2"/>
      <c r="F499" s="37">
        <f t="shared" si="40"/>
        <v>0</v>
      </c>
      <c r="G499" s="2"/>
      <c r="H499" s="12">
        <f t="shared" si="41"/>
        <v>0</v>
      </c>
      <c r="I499" s="2"/>
      <c r="J499" s="12">
        <v>2200</v>
      </c>
      <c r="K499" s="2"/>
      <c r="M499" t="s">
        <v>460</v>
      </c>
      <c r="N499" t="s">
        <v>464</v>
      </c>
    </row>
    <row r="500" spans="1:14" x14ac:dyDescent="0.25">
      <c r="A500" t="s">
        <v>239</v>
      </c>
      <c r="B500" t="s">
        <v>69</v>
      </c>
      <c r="C500" t="s">
        <v>70</v>
      </c>
      <c r="D500" s="16">
        <v>23000</v>
      </c>
      <c r="E500" s="2"/>
      <c r="F500" s="37">
        <f t="shared" si="40"/>
        <v>3.6</v>
      </c>
      <c r="G500" s="2"/>
      <c r="H500" s="12">
        <f t="shared" si="41"/>
        <v>18000</v>
      </c>
      <c r="I500" s="2"/>
      <c r="J500" s="12">
        <v>5000</v>
      </c>
      <c r="K500" s="2"/>
      <c r="L500" t="s">
        <v>413</v>
      </c>
      <c r="M500" t="s">
        <v>460</v>
      </c>
      <c r="N500" t="s">
        <v>463</v>
      </c>
    </row>
    <row r="501" spans="1:14" x14ac:dyDescent="0.25">
      <c r="A501" t="s">
        <v>239</v>
      </c>
      <c r="B501" t="s">
        <v>216</v>
      </c>
      <c r="C501" t="s">
        <v>256</v>
      </c>
      <c r="D501" s="16">
        <v>9200</v>
      </c>
      <c r="E501" s="2"/>
      <c r="F501" s="37">
        <f t="shared" si="40"/>
        <v>0</v>
      </c>
      <c r="G501" s="2"/>
      <c r="H501" s="12">
        <f t="shared" si="41"/>
        <v>0</v>
      </c>
      <c r="I501" s="2"/>
      <c r="J501" s="12">
        <v>9200</v>
      </c>
      <c r="K501" s="2"/>
      <c r="M501" t="s">
        <v>460</v>
      </c>
      <c r="N501" t="s">
        <v>463</v>
      </c>
    </row>
    <row r="502" spans="1:14" x14ac:dyDescent="0.25">
      <c r="A502" t="s">
        <v>239</v>
      </c>
      <c r="B502" t="s">
        <v>257</v>
      </c>
      <c r="C502" t="s">
        <v>258</v>
      </c>
      <c r="D502" s="16">
        <v>5000</v>
      </c>
      <c r="E502" s="2"/>
      <c r="F502" s="37">
        <f t="shared" si="40"/>
        <v>0</v>
      </c>
      <c r="G502" s="2"/>
      <c r="H502" s="12">
        <f t="shared" si="41"/>
        <v>0</v>
      </c>
      <c r="I502" s="2"/>
      <c r="J502" s="12">
        <v>5000</v>
      </c>
      <c r="K502" s="2"/>
      <c r="M502" t="s">
        <v>460</v>
      </c>
      <c r="N502" t="s">
        <v>463</v>
      </c>
    </row>
    <row r="503" spans="1:14" x14ac:dyDescent="0.25">
      <c r="A503" t="s">
        <v>239</v>
      </c>
      <c r="B503" t="s">
        <v>259</v>
      </c>
      <c r="C503" t="s">
        <v>260</v>
      </c>
      <c r="D503" s="16">
        <v>4800</v>
      </c>
      <c r="E503" s="2"/>
      <c r="F503" s="37">
        <f t="shared" si="40"/>
        <v>2.3454157782515993E-2</v>
      </c>
      <c r="G503" s="2"/>
      <c r="H503" s="12">
        <f t="shared" si="41"/>
        <v>110</v>
      </c>
      <c r="I503" s="2"/>
      <c r="J503" s="12">
        <v>4690</v>
      </c>
      <c r="K503" s="2"/>
      <c r="M503" t="s">
        <v>460</v>
      </c>
      <c r="N503" t="s">
        <v>463</v>
      </c>
    </row>
    <row r="504" spans="1:14" x14ac:dyDescent="0.25">
      <c r="A504" t="s">
        <v>239</v>
      </c>
      <c r="B504" t="s">
        <v>233</v>
      </c>
      <c r="C504" t="s">
        <v>234</v>
      </c>
      <c r="D504" s="16">
        <v>1200</v>
      </c>
      <c r="E504" s="2"/>
      <c r="F504" s="37">
        <f t="shared" si="40"/>
        <v>4.3478260869565216E-2</v>
      </c>
      <c r="G504" s="2"/>
      <c r="H504" s="12">
        <f t="shared" si="41"/>
        <v>50</v>
      </c>
      <c r="I504" s="2"/>
      <c r="J504" s="12">
        <v>1150</v>
      </c>
      <c r="K504" s="2"/>
      <c r="M504" t="s">
        <v>460</v>
      </c>
      <c r="N504" t="s">
        <v>463</v>
      </c>
    </row>
    <row r="505" spans="1:14" x14ac:dyDescent="0.25">
      <c r="A505" t="s">
        <v>239</v>
      </c>
      <c r="B505" t="s">
        <v>71</v>
      </c>
      <c r="C505" t="s">
        <v>72</v>
      </c>
      <c r="D505" s="16">
        <f>12000+8000</f>
        <v>20000</v>
      </c>
      <c r="E505" s="2"/>
      <c r="F505" s="37">
        <f t="shared" si="40"/>
        <v>0.72413793103448276</v>
      </c>
      <c r="G505" s="2"/>
      <c r="H505" s="12">
        <f t="shared" si="41"/>
        <v>8400</v>
      </c>
      <c r="I505" s="2"/>
      <c r="J505" s="12">
        <v>11600</v>
      </c>
      <c r="K505" s="2"/>
      <c r="L505" s="21" t="s">
        <v>454</v>
      </c>
      <c r="M505" t="s">
        <v>460</v>
      </c>
      <c r="N505" t="s">
        <v>465</v>
      </c>
    </row>
    <row r="506" spans="1:14" x14ac:dyDescent="0.25">
      <c r="A506" s="20" t="s">
        <v>239</v>
      </c>
      <c r="B506" s="72">
        <v>50449</v>
      </c>
      <c r="C506" s="30" t="s">
        <v>420</v>
      </c>
      <c r="D506" s="16">
        <v>2500</v>
      </c>
      <c r="E506" s="2"/>
      <c r="F506" s="37">
        <v>1</v>
      </c>
      <c r="G506" s="2"/>
      <c r="H506" s="12">
        <f t="shared" si="41"/>
        <v>2500</v>
      </c>
      <c r="I506" s="2"/>
      <c r="J506" s="12">
        <v>0</v>
      </c>
      <c r="K506" s="2"/>
      <c r="L506" s="21"/>
      <c r="M506" t="s">
        <v>460</v>
      </c>
      <c r="N506" t="s">
        <v>463</v>
      </c>
    </row>
    <row r="507" spans="1:14" x14ac:dyDescent="0.25">
      <c r="D507" s="10"/>
      <c r="E507" s="2"/>
      <c r="F507" s="10"/>
      <c r="G507" s="2"/>
      <c r="H507" s="10"/>
      <c r="I507" s="2"/>
      <c r="J507" s="11"/>
      <c r="K507" s="2"/>
    </row>
    <row r="508" spans="1:14" x14ac:dyDescent="0.25">
      <c r="A508" t="s">
        <v>5</v>
      </c>
      <c r="B508" t="s">
        <v>5</v>
      </c>
      <c r="C508" s="1" t="s">
        <v>379</v>
      </c>
      <c r="D508" s="8">
        <f>SUM(D468:D506)</f>
        <v>957093</v>
      </c>
      <c r="E508" s="2"/>
      <c r="F508" s="15">
        <f>H508/J508</f>
        <v>8.8040898177452795E-2</v>
      </c>
      <c r="G508" s="2"/>
      <c r="H508" s="8">
        <f>SUM(H468:H506)</f>
        <v>77445</v>
      </c>
      <c r="I508" s="2"/>
      <c r="J508" s="8">
        <f>SUM(J468:J506)</f>
        <v>879648</v>
      </c>
      <c r="K508" s="2"/>
    </row>
    <row r="509" spans="1:14" x14ac:dyDescent="0.25">
      <c r="D509" s="2"/>
      <c r="E509" s="2"/>
      <c r="F509" s="2"/>
      <c r="G509" s="2"/>
      <c r="H509" s="2"/>
      <c r="I509" s="2"/>
      <c r="K509" s="2"/>
    </row>
    <row r="510" spans="1:14" x14ac:dyDescent="0.25">
      <c r="A510" t="s">
        <v>261</v>
      </c>
      <c r="B510" t="s">
        <v>262</v>
      </c>
      <c r="C510" t="s">
        <v>263</v>
      </c>
      <c r="D510" s="16">
        <v>50000</v>
      </c>
      <c r="E510" s="2"/>
      <c r="F510" s="37">
        <f>H510/J510</f>
        <v>0.1111111111111111</v>
      </c>
      <c r="G510" s="2"/>
      <c r="H510" s="12">
        <f t="shared" ref="H510:H515" si="42">D510-J510</f>
        <v>5000</v>
      </c>
      <c r="I510" s="2"/>
      <c r="J510" s="12">
        <v>45000</v>
      </c>
      <c r="K510" s="2"/>
      <c r="M510" t="s">
        <v>460</v>
      </c>
      <c r="N510" t="s">
        <v>464</v>
      </c>
    </row>
    <row r="511" spans="1:14" x14ac:dyDescent="0.25">
      <c r="A511" t="s">
        <v>261</v>
      </c>
      <c r="B511" t="s">
        <v>264</v>
      </c>
      <c r="C511" t="s">
        <v>265</v>
      </c>
      <c r="D511" s="16">
        <v>2000</v>
      </c>
      <c r="E511" s="2"/>
      <c r="F511" s="37">
        <f>H511/J511</f>
        <v>0</v>
      </c>
      <c r="G511" s="2"/>
      <c r="H511" s="12">
        <f t="shared" si="42"/>
        <v>0</v>
      </c>
      <c r="I511" s="2"/>
      <c r="J511" s="12">
        <v>2000</v>
      </c>
      <c r="K511" s="2"/>
      <c r="M511" t="s">
        <v>460</v>
      </c>
      <c r="N511" t="s">
        <v>464</v>
      </c>
    </row>
    <row r="512" spans="1:14" x14ac:dyDescent="0.25">
      <c r="A512" t="s">
        <v>261</v>
      </c>
      <c r="B512" t="s">
        <v>266</v>
      </c>
      <c r="C512" t="s">
        <v>267</v>
      </c>
      <c r="D512" s="16">
        <v>1000</v>
      </c>
      <c r="E512" s="2"/>
      <c r="F512" s="37">
        <f>H512/J512</f>
        <v>0</v>
      </c>
      <c r="G512" s="2"/>
      <c r="H512" s="12">
        <f t="shared" si="42"/>
        <v>0</v>
      </c>
      <c r="I512" s="2"/>
      <c r="J512" s="12">
        <v>1000</v>
      </c>
      <c r="K512" s="2"/>
      <c r="M512" t="s">
        <v>460</v>
      </c>
      <c r="N512" t="s">
        <v>464</v>
      </c>
    </row>
    <row r="513" spans="1:14" x14ac:dyDescent="0.25">
      <c r="A513" t="s">
        <v>261</v>
      </c>
      <c r="B513" t="s">
        <v>268</v>
      </c>
      <c r="C513" t="s">
        <v>269</v>
      </c>
      <c r="D513" s="16">
        <v>2800</v>
      </c>
      <c r="E513" s="2"/>
      <c r="F513" s="37">
        <f>H513/J513</f>
        <v>0</v>
      </c>
      <c r="G513" s="2"/>
      <c r="H513" s="12">
        <f t="shared" si="42"/>
        <v>0</v>
      </c>
      <c r="I513" s="2"/>
      <c r="J513" s="12">
        <v>2800</v>
      </c>
      <c r="K513" s="2"/>
      <c r="M513" t="s">
        <v>460</v>
      </c>
      <c r="N513" t="s">
        <v>464</v>
      </c>
    </row>
    <row r="514" spans="1:14" x14ac:dyDescent="0.25">
      <c r="A514" t="s">
        <v>261</v>
      </c>
      <c r="B514" t="s">
        <v>270</v>
      </c>
      <c r="C514" t="s">
        <v>271</v>
      </c>
      <c r="D514" s="16">
        <v>8879</v>
      </c>
      <c r="E514" s="2"/>
      <c r="F514" s="37">
        <f>H514/J514</f>
        <v>2.2101991481524117E-2</v>
      </c>
      <c r="G514" s="2"/>
      <c r="H514" s="12">
        <f t="shared" si="42"/>
        <v>192</v>
      </c>
      <c r="I514" s="2"/>
      <c r="J514" s="12">
        <v>8687</v>
      </c>
      <c r="K514" s="2"/>
      <c r="M514" t="s">
        <v>460</v>
      </c>
      <c r="N514" t="s">
        <v>464</v>
      </c>
    </row>
    <row r="515" spans="1:14" x14ac:dyDescent="0.25">
      <c r="A515" t="s">
        <v>261</v>
      </c>
      <c r="B515" s="72">
        <v>50654</v>
      </c>
      <c r="C515" s="30" t="s">
        <v>391</v>
      </c>
      <c r="D515" s="16">
        <v>500</v>
      </c>
      <c r="E515" s="2"/>
      <c r="F515" s="37">
        <v>1</v>
      </c>
      <c r="G515" s="2"/>
      <c r="H515" s="12">
        <f t="shared" si="42"/>
        <v>500</v>
      </c>
      <c r="I515" s="2"/>
      <c r="J515" s="12">
        <v>0</v>
      </c>
      <c r="K515" s="2"/>
      <c r="M515" t="s">
        <v>460</v>
      </c>
      <c r="N515" t="s">
        <v>463</v>
      </c>
    </row>
    <row r="516" spans="1:14" x14ac:dyDescent="0.25">
      <c r="D516" s="2"/>
      <c r="E516" s="2"/>
      <c r="F516" s="2"/>
      <c r="G516" s="2"/>
      <c r="H516" s="2"/>
      <c r="I516" s="2"/>
      <c r="K516" s="2"/>
    </row>
    <row r="517" spans="1:14" x14ac:dyDescent="0.25">
      <c r="A517" t="s">
        <v>5</v>
      </c>
      <c r="B517" t="s">
        <v>5</v>
      </c>
      <c r="C517" s="1" t="s">
        <v>378</v>
      </c>
      <c r="D517" s="8">
        <f>SUM(D510:D515)</f>
        <v>65179</v>
      </c>
      <c r="E517" s="2"/>
      <c r="F517" s="15">
        <f>H517/J517</f>
        <v>9.5684771462672513E-2</v>
      </c>
      <c r="G517" s="2"/>
      <c r="H517" s="8">
        <f>SUM(H510:H515)</f>
        <v>5692</v>
      </c>
      <c r="I517" s="2"/>
      <c r="J517" s="8">
        <f>SUM(J510:J515)</f>
        <v>59487</v>
      </c>
      <c r="K517" s="2"/>
    </row>
    <row r="518" spans="1:14" x14ac:dyDescent="0.25">
      <c r="D518" s="2"/>
      <c r="E518" s="2"/>
      <c r="F518" s="2"/>
      <c r="G518" s="2"/>
      <c r="H518" s="2"/>
      <c r="I518" s="2"/>
      <c r="K518" s="2"/>
    </row>
    <row r="519" spans="1:14" x14ac:dyDescent="0.25">
      <c r="A519" t="s">
        <v>272</v>
      </c>
      <c r="B519" t="s">
        <v>57</v>
      </c>
      <c r="C519" t="s">
        <v>58</v>
      </c>
      <c r="D519" s="16">
        <f>ROUNDUP((76783.62),0)</f>
        <v>76784</v>
      </c>
      <c r="E519" s="2"/>
      <c r="F519" s="37">
        <f t="shared" ref="F519:F533" si="43">H519/J519</f>
        <v>2.9883577445141907E-2</v>
      </c>
      <c r="G519" s="2"/>
      <c r="H519" s="12">
        <f t="shared" ref="H519:H533" si="44">D519-J519</f>
        <v>2228</v>
      </c>
      <c r="I519" s="2"/>
      <c r="J519" s="9">
        <v>74556</v>
      </c>
      <c r="K519" s="2"/>
      <c r="L519" t="s">
        <v>355</v>
      </c>
      <c r="M519" t="s">
        <v>458</v>
      </c>
      <c r="N519" t="s">
        <v>462</v>
      </c>
    </row>
    <row r="520" spans="1:14" x14ac:dyDescent="0.25">
      <c r="A520" t="s">
        <v>272</v>
      </c>
      <c r="B520" t="s">
        <v>34</v>
      </c>
      <c r="C520" t="s">
        <v>35</v>
      </c>
      <c r="D520" s="16">
        <f>ROUNDUP((58.8),0)</f>
        <v>59</v>
      </c>
      <c r="E520" s="2"/>
      <c r="F520" s="37">
        <f t="shared" si="43"/>
        <v>-0.21333333333333335</v>
      </c>
      <c r="G520" s="2"/>
      <c r="H520" s="12">
        <f t="shared" si="44"/>
        <v>-16</v>
      </c>
      <c r="I520" s="2"/>
      <c r="J520" s="9">
        <v>75</v>
      </c>
      <c r="K520" s="2"/>
      <c r="M520" t="s">
        <v>458</v>
      </c>
      <c r="N520" t="s">
        <v>462</v>
      </c>
    </row>
    <row r="521" spans="1:14" x14ac:dyDescent="0.25">
      <c r="A521" t="s">
        <v>272</v>
      </c>
      <c r="B521" t="s">
        <v>9</v>
      </c>
      <c r="C521" t="s">
        <v>10</v>
      </c>
      <c r="D521" s="16">
        <f>ROUNDUP((359.22),0)</f>
        <v>360</v>
      </c>
      <c r="E521" s="2"/>
      <c r="F521" s="37">
        <f t="shared" si="43"/>
        <v>0.68224299065420557</v>
      </c>
      <c r="G521" s="2"/>
      <c r="H521" s="12">
        <f t="shared" si="44"/>
        <v>146</v>
      </c>
      <c r="I521" s="2"/>
      <c r="J521" s="9">
        <v>214</v>
      </c>
      <c r="K521" s="2"/>
      <c r="M521" t="s">
        <v>458</v>
      </c>
      <c r="N521" t="s">
        <v>462</v>
      </c>
    </row>
    <row r="522" spans="1:14" x14ac:dyDescent="0.25">
      <c r="A522" t="s">
        <v>272</v>
      </c>
      <c r="B522" t="s">
        <v>36</v>
      </c>
      <c r="C522" t="s">
        <v>37</v>
      </c>
      <c r="D522" s="16">
        <f>ROUNDUP((7831.93),0)</f>
        <v>7832</v>
      </c>
      <c r="E522" s="2"/>
      <c r="F522" s="37">
        <f t="shared" si="43"/>
        <v>2.9848783694937542E-2</v>
      </c>
      <c r="G522" s="2"/>
      <c r="H522" s="12">
        <f t="shared" si="44"/>
        <v>227</v>
      </c>
      <c r="I522" s="2"/>
      <c r="J522" s="9">
        <v>7605</v>
      </c>
      <c r="K522" s="2"/>
      <c r="M522" t="s">
        <v>458</v>
      </c>
      <c r="N522" t="s">
        <v>462</v>
      </c>
    </row>
    <row r="523" spans="1:14" x14ac:dyDescent="0.25">
      <c r="A523" t="s">
        <v>272</v>
      </c>
      <c r="B523" t="s">
        <v>38</v>
      </c>
      <c r="C523" t="s">
        <v>39</v>
      </c>
      <c r="D523" s="16">
        <f>ROUNDUP((3230.47),0)</f>
        <v>3231</v>
      </c>
      <c r="E523" s="2"/>
      <c r="F523" s="37">
        <f t="shared" si="43"/>
        <v>3.0293367346938774E-2</v>
      </c>
      <c r="G523" s="2"/>
      <c r="H523" s="12">
        <f t="shared" si="44"/>
        <v>95</v>
      </c>
      <c r="I523" s="2"/>
      <c r="J523" s="9">
        <v>3136</v>
      </c>
      <c r="K523" s="2"/>
      <c r="M523" t="s">
        <v>458</v>
      </c>
      <c r="N523" t="s">
        <v>462</v>
      </c>
    </row>
    <row r="524" spans="1:14" x14ac:dyDescent="0.25">
      <c r="A524" t="s">
        <v>272</v>
      </c>
      <c r="B524" t="s">
        <v>11</v>
      </c>
      <c r="C524" t="s">
        <v>12</v>
      </c>
      <c r="D524" s="16">
        <f>ROUNDUP((5873.95),0)</f>
        <v>5874</v>
      </c>
      <c r="E524" s="2"/>
      <c r="F524" s="37">
        <f t="shared" si="43"/>
        <v>2.9984218832193581E-2</v>
      </c>
      <c r="G524" s="2"/>
      <c r="H524" s="12">
        <f t="shared" si="44"/>
        <v>171</v>
      </c>
      <c r="I524" s="2"/>
      <c r="J524" s="9">
        <v>5703</v>
      </c>
      <c r="K524" s="2"/>
      <c r="M524" t="s">
        <v>458</v>
      </c>
      <c r="N524" t="s">
        <v>462</v>
      </c>
    </row>
    <row r="525" spans="1:14" x14ac:dyDescent="0.25">
      <c r="A525" t="s">
        <v>272</v>
      </c>
      <c r="B525" t="s">
        <v>15</v>
      </c>
      <c r="C525" t="s">
        <v>16</v>
      </c>
      <c r="D525" s="16">
        <v>9000</v>
      </c>
      <c r="E525" s="2"/>
      <c r="F525" s="37">
        <f t="shared" si="43"/>
        <v>1.1428571428571428</v>
      </c>
      <c r="G525" s="2"/>
      <c r="H525" s="12">
        <f t="shared" si="44"/>
        <v>4800</v>
      </c>
      <c r="I525" s="2"/>
      <c r="J525" s="9">
        <v>4200</v>
      </c>
      <c r="K525" s="2"/>
      <c r="M525" t="s">
        <v>458</v>
      </c>
      <c r="N525" t="s">
        <v>463</v>
      </c>
    </row>
    <row r="526" spans="1:14" x14ac:dyDescent="0.25">
      <c r="A526" t="s">
        <v>272</v>
      </c>
      <c r="B526" t="s">
        <v>19</v>
      </c>
      <c r="C526" t="s">
        <v>20</v>
      </c>
      <c r="D526" s="16">
        <v>500</v>
      </c>
      <c r="E526" s="2"/>
      <c r="F526" s="37">
        <f t="shared" si="43"/>
        <v>0.66666666666666663</v>
      </c>
      <c r="G526" s="2"/>
      <c r="H526" s="12">
        <f t="shared" si="44"/>
        <v>200</v>
      </c>
      <c r="I526" s="2"/>
      <c r="J526" s="9">
        <v>300</v>
      </c>
      <c r="K526" s="2"/>
      <c r="M526" t="s">
        <v>458</v>
      </c>
      <c r="N526" t="s">
        <v>463</v>
      </c>
    </row>
    <row r="527" spans="1:14" x14ac:dyDescent="0.25">
      <c r="A527" t="s">
        <v>272</v>
      </c>
      <c r="B527" t="s">
        <v>21</v>
      </c>
      <c r="C527" t="s">
        <v>22</v>
      </c>
      <c r="D527" s="16">
        <v>10100</v>
      </c>
      <c r="E527" s="2"/>
      <c r="F527" s="37">
        <f t="shared" si="43"/>
        <v>0.68333333333333335</v>
      </c>
      <c r="G527" s="2"/>
      <c r="H527" s="12">
        <f t="shared" si="44"/>
        <v>4100</v>
      </c>
      <c r="I527" s="2"/>
      <c r="J527" s="9">
        <v>6000</v>
      </c>
      <c r="K527" s="2"/>
      <c r="M527" t="s">
        <v>458</v>
      </c>
      <c r="N527" t="s">
        <v>463</v>
      </c>
    </row>
    <row r="528" spans="1:14" x14ac:dyDescent="0.25">
      <c r="A528" t="s">
        <v>272</v>
      </c>
      <c r="B528" t="s">
        <v>40</v>
      </c>
      <c r="C528" t="s">
        <v>41</v>
      </c>
      <c r="D528" s="16">
        <v>695</v>
      </c>
      <c r="E528" s="2"/>
      <c r="F528" s="37">
        <f t="shared" si="43"/>
        <v>0</v>
      </c>
      <c r="G528" s="2"/>
      <c r="H528" s="12">
        <f t="shared" si="44"/>
        <v>0</v>
      </c>
      <c r="I528" s="2"/>
      <c r="J528" s="9">
        <v>695</v>
      </c>
      <c r="K528" s="2"/>
      <c r="M528" t="s">
        <v>458</v>
      </c>
      <c r="N528" t="s">
        <v>462</v>
      </c>
    </row>
    <row r="529" spans="1:14" x14ac:dyDescent="0.25">
      <c r="A529" t="s">
        <v>272</v>
      </c>
      <c r="B529" t="s">
        <v>23</v>
      </c>
      <c r="C529" t="s">
        <v>273</v>
      </c>
      <c r="D529" s="16">
        <v>3500</v>
      </c>
      <c r="E529" s="2"/>
      <c r="F529" s="37">
        <f t="shared" si="43"/>
        <v>0</v>
      </c>
      <c r="G529" s="2"/>
      <c r="H529" s="12">
        <f t="shared" si="44"/>
        <v>0</v>
      </c>
      <c r="I529" s="2"/>
      <c r="J529" s="9">
        <v>3500</v>
      </c>
      <c r="K529" s="2"/>
      <c r="M529" t="s">
        <v>458</v>
      </c>
      <c r="N529" t="s">
        <v>462</v>
      </c>
    </row>
    <row r="530" spans="1:14" x14ac:dyDescent="0.25">
      <c r="A530" t="s">
        <v>272</v>
      </c>
      <c r="B530" t="s">
        <v>42</v>
      </c>
      <c r="C530" t="s">
        <v>43</v>
      </c>
      <c r="D530" s="16">
        <v>2500</v>
      </c>
      <c r="E530" s="2"/>
      <c r="F530" s="37">
        <f t="shared" si="43"/>
        <v>0.1111111111111111</v>
      </c>
      <c r="G530" s="2"/>
      <c r="H530" s="12">
        <f t="shared" si="44"/>
        <v>250</v>
      </c>
      <c r="I530" s="2"/>
      <c r="J530" s="9">
        <v>2250</v>
      </c>
      <c r="K530" s="2"/>
      <c r="M530" t="s">
        <v>458</v>
      </c>
      <c r="N530" t="s">
        <v>462</v>
      </c>
    </row>
    <row r="531" spans="1:14" x14ac:dyDescent="0.25">
      <c r="A531" t="s">
        <v>272</v>
      </c>
      <c r="B531" t="s">
        <v>274</v>
      </c>
      <c r="C531" t="s">
        <v>275</v>
      </c>
      <c r="D531" s="16">
        <v>10810</v>
      </c>
      <c r="E531" s="2"/>
      <c r="F531" s="37">
        <f t="shared" si="43"/>
        <v>3.28683355627747E-2</v>
      </c>
      <c r="G531" s="2"/>
      <c r="H531" s="12">
        <f t="shared" si="44"/>
        <v>344</v>
      </c>
      <c r="I531" s="2"/>
      <c r="J531" s="9">
        <v>10466</v>
      </c>
      <c r="K531" s="2"/>
      <c r="M531" t="s">
        <v>458</v>
      </c>
      <c r="N531" t="s">
        <v>463</v>
      </c>
    </row>
    <row r="532" spans="1:14" x14ac:dyDescent="0.25">
      <c r="A532" t="s">
        <v>272</v>
      </c>
      <c r="B532" t="s">
        <v>65</v>
      </c>
      <c r="C532" t="s">
        <v>276</v>
      </c>
      <c r="D532" s="16">
        <v>1200</v>
      </c>
      <c r="E532" s="2"/>
      <c r="F532" s="37">
        <f t="shared" si="43"/>
        <v>1.2857142857142858</v>
      </c>
      <c r="G532" s="2"/>
      <c r="H532" s="12">
        <f t="shared" si="44"/>
        <v>675</v>
      </c>
      <c r="I532" s="2"/>
      <c r="J532" s="9">
        <v>525</v>
      </c>
      <c r="K532" s="2"/>
      <c r="M532" t="s">
        <v>458</v>
      </c>
      <c r="N532" t="s">
        <v>462</v>
      </c>
    </row>
    <row r="533" spans="1:14" x14ac:dyDescent="0.25">
      <c r="A533" t="s">
        <v>272</v>
      </c>
      <c r="B533" t="s">
        <v>44</v>
      </c>
      <c r="C533" t="s">
        <v>45</v>
      </c>
      <c r="D533" s="16">
        <v>5500</v>
      </c>
      <c r="E533" s="2"/>
      <c r="F533" s="37">
        <f t="shared" si="43"/>
        <v>4.2380952380952381</v>
      </c>
      <c r="G533" s="2"/>
      <c r="H533" s="12">
        <f t="shared" si="44"/>
        <v>4450</v>
      </c>
      <c r="I533" s="2"/>
      <c r="J533" s="9">
        <v>1050</v>
      </c>
      <c r="K533" s="2"/>
      <c r="M533" t="s">
        <v>458</v>
      </c>
      <c r="N533" t="s">
        <v>462</v>
      </c>
    </row>
    <row r="534" spans="1:14" x14ac:dyDescent="0.25">
      <c r="D534" s="2"/>
      <c r="E534" s="2"/>
      <c r="F534" s="2"/>
      <c r="G534" s="2"/>
      <c r="H534" s="2"/>
      <c r="I534" s="2"/>
      <c r="K534" s="2"/>
    </row>
    <row r="535" spans="1:14" x14ac:dyDescent="0.25">
      <c r="A535" t="s">
        <v>5</v>
      </c>
      <c r="B535" t="s">
        <v>5</v>
      </c>
      <c r="C535" s="1" t="s">
        <v>377</v>
      </c>
      <c r="D535" s="8">
        <f>SUM(D519:D533)</f>
        <v>137945</v>
      </c>
      <c r="E535" s="2"/>
      <c r="F535" s="15">
        <f>H535/J535</f>
        <v>0.14691332363334025</v>
      </c>
      <c r="G535" s="2"/>
      <c r="H535" s="8">
        <f>SUM(H519:H533)</f>
        <v>17670</v>
      </c>
      <c r="I535" s="2"/>
      <c r="J535" s="8">
        <f>SUM(J519:J533)</f>
        <v>120275</v>
      </c>
      <c r="K535" s="2"/>
    </row>
    <row r="536" spans="1:14" x14ac:dyDescent="0.25">
      <c r="D536" s="2"/>
      <c r="E536" s="2"/>
      <c r="F536" s="2"/>
      <c r="G536" s="2"/>
      <c r="H536" s="2"/>
      <c r="I536" s="2"/>
      <c r="J536" s="26"/>
      <c r="K536" s="2"/>
    </row>
    <row r="537" spans="1:14" x14ac:dyDescent="0.25">
      <c r="C537" s="1" t="s">
        <v>407</v>
      </c>
      <c r="D537" s="17">
        <f>D535+D517+D508+D466+D444+D438+D405+D395+D343+D323+D303+D294+D260+D221+D209+D201</f>
        <v>12615256.377</v>
      </c>
      <c r="E537" s="2"/>
      <c r="F537" s="27">
        <f>H537/J537</f>
        <v>0.15255870387974532</v>
      </c>
      <c r="G537" s="2"/>
      <c r="H537" s="17">
        <f>H535+H517+H508+H466+H444+H438+H405+H395+H343+H323+H303+H294+H260+H221+H209+H201</f>
        <v>1669821.3770000001</v>
      </c>
      <c r="I537" s="2"/>
      <c r="J537" s="17">
        <f>J535+J517+J508+J466+J444+J438+J405+J395+J343+J323+J303+J294+J260+J221+J209+J201</f>
        <v>10945435</v>
      </c>
      <c r="K537" s="2"/>
    </row>
    <row r="538" spans="1:14" s="30" customFormat="1" x14ac:dyDescent="0.25">
      <c r="C538" s="31"/>
      <c r="D538" s="35"/>
      <c r="E538" s="25"/>
      <c r="F538" s="35"/>
      <c r="G538" s="25"/>
      <c r="H538" s="35"/>
      <c r="I538" s="25"/>
      <c r="J538" s="32"/>
      <c r="K538" s="25"/>
    </row>
    <row r="539" spans="1:14" x14ac:dyDescent="0.25">
      <c r="D539" s="2"/>
      <c r="E539" s="2"/>
      <c r="F539" s="2"/>
      <c r="G539" s="2"/>
      <c r="H539" s="2"/>
      <c r="I539" s="2"/>
      <c r="J539" s="26"/>
      <c r="K539" s="2"/>
    </row>
    <row r="540" spans="1:14" x14ac:dyDescent="0.25">
      <c r="A540" t="s">
        <v>277</v>
      </c>
      <c r="B540" t="s">
        <v>278</v>
      </c>
      <c r="C540" t="s">
        <v>279</v>
      </c>
      <c r="D540" s="16">
        <v>24144</v>
      </c>
      <c r="E540" s="2"/>
      <c r="F540" s="37">
        <f>H540/J540</f>
        <v>5.0972881208375051E-2</v>
      </c>
      <c r="G540" s="2"/>
      <c r="H540" s="12">
        <f>D540-J540</f>
        <v>1171</v>
      </c>
      <c r="I540" s="2"/>
      <c r="J540" s="9">
        <v>22973</v>
      </c>
      <c r="K540" s="2"/>
      <c r="M540" t="s">
        <v>458</v>
      </c>
      <c r="N540" t="s">
        <v>464</v>
      </c>
    </row>
    <row r="541" spans="1:14" x14ac:dyDescent="0.25">
      <c r="A541" t="s">
        <v>277</v>
      </c>
      <c r="B541" t="s">
        <v>280</v>
      </c>
      <c r="C541" s="30" t="s">
        <v>281</v>
      </c>
      <c r="D541" s="16">
        <v>920550</v>
      </c>
      <c r="E541" s="2"/>
      <c r="F541" s="37">
        <f>H541/J541</f>
        <v>0.10075189048801136</v>
      </c>
      <c r="G541" s="2"/>
      <c r="H541" s="12">
        <f>D541-J541</f>
        <v>84258</v>
      </c>
      <c r="I541" s="2"/>
      <c r="J541" s="9">
        <v>836292</v>
      </c>
      <c r="K541" s="2"/>
      <c r="M541" t="s">
        <v>458</v>
      </c>
      <c r="N541" t="s">
        <v>464</v>
      </c>
    </row>
    <row r="542" spans="1:14" x14ac:dyDescent="0.25">
      <c r="D542" s="2"/>
      <c r="E542" s="2"/>
      <c r="F542" s="2"/>
      <c r="G542" s="2"/>
      <c r="H542" s="2"/>
      <c r="I542" s="2"/>
      <c r="K542" s="2"/>
    </row>
    <row r="543" spans="1:14" x14ac:dyDescent="0.25">
      <c r="A543" t="s">
        <v>5</v>
      </c>
      <c r="B543" t="s">
        <v>5</v>
      </c>
      <c r="C543" s="1" t="s">
        <v>376</v>
      </c>
      <c r="D543" s="8">
        <f>SUM(D540:D541)</f>
        <v>944694</v>
      </c>
      <c r="E543" s="2"/>
      <c r="F543" s="15">
        <f>H543/J543</f>
        <v>9.9421016799241216E-2</v>
      </c>
      <c r="G543" s="2"/>
      <c r="H543" s="8">
        <f>SUM(H540:H541)</f>
        <v>85429</v>
      </c>
      <c r="I543" s="2"/>
      <c r="J543" s="8">
        <f>SUM(J540:J541)</f>
        <v>859265</v>
      </c>
      <c r="K543" s="2"/>
    </row>
    <row r="544" spans="1:14" x14ac:dyDescent="0.25">
      <c r="D544" s="2"/>
      <c r="E544" s="2"/>
      <c r="F544" s="2"/>
      <c r="G544" s="2"/>
      <c r="H544" s="2"/>
      <c r="I544" s="2"/>
      <c r="K544" s="2"/>
    </row>
    <row r="545" spans="1:14" x14ac:dyDescent="0.25">
      <c r="A545" t="s">
        <v>282</v>
      </c>
      <c r="B545" t="s">
        <v>284</v>
      </c>
      <c r="C545" t="s">
        <v>285</v>
      </c>
      <c r="D545" s="16">
        <v>53040</v>
      </c>
      <c r="E545" s="2"/>
      <c r="F545" s="37">
        <f>H545/J545</f>
        <v>0</v>
      </c>
      <c r="G545" s="2"/>
      <c r="H545" s="12">
        <f t="shared" ref="H545:H555" si="45">D545-J545</f>
        <v>0</v>
      </c>
      <c r="I545" s="2"/>
      <c r="J545" s="12">
        <v>53040</v>
      </c>
      <c r="K545" s="2"/>
      <c r="M545" t="s">
        <v>458</v>
      </c>
      <c r="N545" t="s">
        <v>465</v>
      </c>
    </row>
    <row r="546" spans="1:14" x14ac:dyDescent="0.25">
      <c r="A546" t="s">
        <v>282</v>
      </c>
      <c r="B546" t="s">
        <v>286</v>
      </c>
      <c r="C546" t="s">
        <v>287</v>
      </c>
      <c r="D546" s="16">
        <f>ROUNDUP((43779.72),0)</f>
        <v>43780</v>
      </c>
      <c r="E546" s="2"/>
      <c r="F546" s="37">
        <f>H546/J546</f>
        <v>0</v>
      </c>
      <c r="G546" s="2"/>
      <c r="H546" s="12">
        <f t="shared" si="45"/>
        <v>0</v>
      </c>
      <c r="I546" s="2"/>
      <c r="J546" s="12">
        <v>43780</v>
      </c>
      <c r="K546" s="2"/>
      <c r="M546" t="s">
        <v>458</v>
      </c>
      <c r="N546" t="s">
        <v>465</v>
      </c>
    </row>
    <row r="547" spans="1:14" x14ac:dyDescent="0.25">
      <c r="A547" t="s">
        <v>282</v>
      </c>
      <c r="B547" t="s">
        <v>288</v>
      </c>
      <c r="C547" t="s">
        <v>289</v>
      </c>
      <c r="D547" s="16">
        <v>150000</v>
      </c>
      <c r="E547" s="2"/>
      <c r="F547" s="37">
        <f>H547/J547</f>
        <v>0</v>
      </c>
      <c r="G547" s="2"/>
      <c r="H547" s="12">
        <f t="shared" si="45"/>
        <v>0</v>
      </c>
      <c r="I547" s="2"/>
      <c r="J547" s="12">
        <v>150000</v>
      </c>
      <c r="K547" s="2"/>
      <c r="M547" t="s">
        <v>458</v>
      </c>
      <c r="N547" t="s">
        <v>465</v>
      </c>
    </row>
    <row r="548" spans="1:14" x14ac:dyDescent="0.25">
      <c r="A548" t="s">
        <v>282</v>
      </c>
      <c r="B548" t="s">
        <v>290</v>
      </c>
      <c r="C548" s="30" t="s">
        <v>291</v>
      </c>
      <c r="D548" s="16">
        <v>150000</v>
      </c>
      <c r="E548" s="2"/>
      <c r="F548" s="37">
        <f>H548/J548</f>
        <v>0</v>
      </c>
      <c r="G548" s="2"/>
      <c r="H548" s="12">
        <f t="shared" si="45"/>
        <v>0</v>
      </c>
      <c r="I548" s="2"/>
      <c r="J548" s="12">
        <v>150000</v>
      </c>
      <c r="K548" s="2"/>
      <c r="M548" t="s">
        <v>458</v>
      </c>
      <c r="N548" t="s">
        <v>465</v>
      </c>
    </row>
    <row r="549" spans="1:14" x14ac:dyDescent="0.25">
      <c r="A549" t="s">
        <v>282</v>
      </c>
      <c r="B549" s="72">
        <v>53410</v>
      </c>
      <c r="C549" s="30" t="s">
        <v>394</v>
      </c>
      <c r="D549" s="16">
        <f>ROUNDUP((186666.67),0)</f>
        <v>186667</v>
      </c>
      <c r="E549" s="2"/>
      <c r="F549" s="37">
        <v>1</v>
      </c>
      <c r="G549" s="2"/>
      <c r="H549" s="12">
        <f t="shared" si="45"/>
        <v>186667</v>
      </c>
      <c r="I549" s="2"/>
      <c r="J549" s="12">
        <v>0</v>
      </c>
      <c r="K549" s="2"/>
      <c r="M549" t="s">
        <v>458</v>
      </c>
      <c r="N549" t="s">
        <v>465</v>
      </c>
    </row>
    <row r="550" spans="1:14" x14ac:dyDescent="0.25">
      <c r="A550" t="s">
        <v>282</v>
      </c>
      <c r="B550" t="s">
        <v>292</v>
      </c>
      <c r="C550" t="s">
        <v>293</v>
      </c>
      <c r="D550" s="16">
        <f>ROUNDUP((12924.93),0)</f>
        <v>12925</v>
      </c>
      <c r="E550" s="2"/>
      <c r="F550" s="37">
        <f>H550/J550</f>
        <v>-0.10578386605783865</v>
      </c>
      <c r="G550" s="2"/>
      <c r="H550" s="12">
        <f t="shared" si="45"/>
        <v>-1529</v>
      </c>
      <c r="I550" s="2"/>
      <c r="J550" s="12">
        <v>14454</v>
      </c>
      <c r="K550" s="2"/>
      <c r="M550" t="s">
        <v>458</v>
      </c>
      <c r="N550" t="s">
        <v>465</v>
      </c>
    </row>
    <row r="551" spans="1:14" x14ac:dyDescent="0.25">
      <c r="A551" t="s">
        <v>282</v>
      </c>
      <c r="B551" t="s">
        <v>294</v>
      </c>
      <c r="C551" t="s">
        <v>295</v>
      </c>
      <c r="D551" s="16">
        <f>ROUNDUP((13645.42),0)</f>
        <v>13646</v>
      </c>
      <c r="E551" s="2"/>
      <c r="F551" s="37">
        <f>H551/J551</f>
        <v>0</v>
      </c>
      <c r="G551" s="2"/>
      <c r="H551" s="12">
        <f t="shared" si="45"/>
        <v>0</v>
      </c>
      <c r="I551" s="2"/>
      <c r="J551" s="12">
        <v>13646</v>
      </c>
      <c r="K551" s="2"/>
      <c r="M551" t="s">
        <v>458</v>
      </c>
      <c r="N551" t="s">
        <v>465</v>
      </c>
    </row>
    <row r="552" spans="1:14" x14ac:dyDescent="0.25">
      <c r="A552" t="s">
        <v>282</v>
      </c>
      <c r="B552" t="s">
        <v>296</v>
      </c>
      <c r="C552" t="s">
        <v>297</v>
      </c>
      <c r="D552" s="16">
        <f>ROUNDUP((16612.5),0)</f>
        <v>16613</v>
      </c>
      <c r="E552" s="2"/>
      <c r="F552" s="37">
        <f>H552/J552</f>
        <v>-0.15489876894902838</v>
      </c>
      <c r="G552" s="2"/>
      <c r="H552" s="12">
        <f t="shared" si="45"/>
        <v>-3045</v>
      </c>
      <c r="I552" s="2"/>
      <c r="J552" s="12">
        <v>19658</v>
      </c>
      <c r="K552" s="2"/>
      <c r="M552" t="s">
        <v>458</v>
      </c>
      <c r="N552" t="s">
        <v>465</v>
      </c>
    </row>
    <row r="553" spans="1:14" x14ac:dyDescent="0.25">
      <c r="A553" t="s">
        <v>282</v>
      </c>
      <c r="B553" t="s">
        <v>298</v>
      </c>
      <c r="C553" s="30" t="s">
        <v>299</v>
      </c>
      <c r="D553" s="16">
        <v>17183</v>
      </c>
      <c r="E553" s="2"/>
      <c r="F553" s="37">
        <v>1</v>
      </c>
      <c r="G553" s="2"/>
      <c r="H553" s="12">
        <f t="shared" si="45"/>
        <v>17183</v>
      </c>
      <c r="I553" s="2"/>
      <c r="J553" s="12">
        <v>0</v>
      </c>
      <c r="K553" s="2"/>
      <c r="M553" t="s">
        <v>458</v>
      </c>
      <c r="N553" t="s">
        <v>465</v>
      </c>
    </row>
    <row r="554" spans="1:14" x14ac:dyDescent="0.25">
      <c r="A554" t="s">
        <v>282</v>
      </c>
      <c r="B554" t="s">
        <v>300</v>
      </c>
      <c r="C554" s="30" t="s">
        <v>301</v>
      </c>
      <c r="D554" s="16">
        <f>ROUNDUP((86772),0)</f>
        <v>86772</v>
      </c>
      <c r="E554" s="2"/>
      <c r="F554" s="37">
        <f>H554/J554</f>
        <v>2.5382870107770846E-2</v>
      </c>
      <c r="G554" s="2"/>
      <c r="H554" s="12">
        <f t="shared" si="45"/>
        <v>2148</v>
      </c>
      <c r="I554" s="2"/>
      <c r="J554" s="12">
        <v>84624</v>
      </c>
      <c r="K554" s="2"/>
      <c r="M554" t="s">
        <v>458</v>
      </c>
      <c r="N554" t="s">
        <v>465</v>
      </c>
    </row>
    <row r="555" spans="1:14" x14ac:dyDescent="0.25">
      <c r="A555" t="s">
        <v>282</v>
      </c>
      <c r="B555" s="72">
        <v>53315</v>
      </c>
      <c r="C555" s="30" t="s">
        <v>434</v>
      </c>
      <c r="D555" s="16">
        <v>7500</v>
      </c>
      <c r="E555" s="2"/>
      <c r="F555" s="37">
        <v>0</v>
      </c>
      <c r="G555" s="2"/>
      <c r="H555" s="12">
        <f t="shared" si="45"/>
        <v>7500</v>
      </c>
      <c r="I555" s="2"/>
      <c r="J555" s="12">
        <v>0</v>
      </c>
      <c r="K555" s="2"/>
      <c r="M555" t="s">
        <v>458</v>
      </c>
      <c r="N555" t="s">
        <v>465</v>
      </c>
    </row>
    <row r="556" spans="1:14" x14ac:dyDescent="0.25">
      <c r="D556" s="2"/>
      <c r="E556" s="2"/>
      <c r="F556" s="2"/>
      <c r="G556" s="2"/>
      <c r="H556" s="2"/>
      <c r="I556" s="2"/>
      <c r="K556" s="2"/>
      <c r="M556" s="54" t="s">
        <v>448</v>
      </c>
      <c r="N556" s="54" t="s">
        <v>449</v>
      </c>
    </row>
    <row r="557" spans="1:14" x14ac:dyDescent="0.25">
      <c r="A557" t="s">
        <v>5</v>
      </c>
      <c r="B557" t="s">
        <v>5</v>
      </c>
      <c r="C557" s="1" t="s">
        <v>375</v>
      </c>
      <c r="D557" s="17">
        <f>SUM(D545:D555)</f>
        <v>738126</v>
      </c>
      <c r="E557" s="2"/>
      <c r="F557" s="27">
        <f>H557/J557</f>
        <v>0.39479064704970879</v>
      </c>
      <c r="G557" s="2"/>
      <c r="H557" s="17">
        <f>SUM(H545:H555)</f>
        <v>208924</v>
      </c>
      <c r="I557" s="2"/>
      <c r="J557" s="17">
        <f>SUM(J545:J555)</f>
        <v>529202</v>
      </c>
      <c r="K557" s="2"/>
    </row>
    <row r="558" spans="1:14" s="30" customFormat="1" ht="15.75" thickBot="1" x14ac:dyDescent="0.3">
      <c r="C558" s="31"/>
      <c r="D558" s="32"/>
      <c r="E558" s="25"/>
      <c r="F558" s="32"/>
      <c r="G558" s="25"/>
      <c r="H558" s="32"/>
      <c r="I558" s="25"/>
      <c r="J558" s="32"/>
      <c r="K558" s="25"/>
      <c r="L558" s="30" t="s">
        <v>445</v>
      </c>
      <c r="M558" s="52">
        <f>D537</f>
        <v>12615256.377</v>
      </c>
      <c r="N558" s="52">
        <f>J537</f>
        <v>10945435</v>
      </c>
    </row>
    <row r="559" spans="1:14" s="30" customFormat="1" ht="30.75" thickTop="1" x14ac:dyDescent="0.25">
      <c r="C559" s="34" t="s">
        <v>395</v>
      </c>
      <c r="D559" s="17">
        <f>D557+D543+D537</f>
        <v>14298076.377</v>
      </c>
      <c r="E559" s="25"/>
      <c r="F559" s="27">
        <f>H559/J559</f>
        <v>0.15925003920089523</v>
      </c>
      <c r="G559" s="25"/>
      <c r="H559" s="17">
        <f>H557+H543+H537</f>
        <v>1964174.3770000001</v>
      </c>
      <c r="I559" s="25"/>
      <c r="J559" s="17">
        <f>J557+J543+J537</f>
        <v>12333902</v>
      </c>
      <c r="K559" s="25"/>
      <c r="L559" s="30" t="s">
        <v>446</v>
      </c>
      <c r="M559" s="51">
        <f>D559-D557+D181</f>
        <v>21255673.377</v>
      </c>
      <c r="N559" s="51">
        <f>J559-J557+J181</f>
        <v>19537582</v>
      </c>
    </row>
    <row r="560" spans="1:14" s="30" customFormat="1" x14ac:dyDescent="0.25">
      <c r="C560" s="34"/>
      <c r="D560" s="32"/>
      <c r="E560" s="25"/>
      <c r="F560" s="33"/>
      <c r="G560" s="25"/>
      <c r="H560" s="32"/>
      <c r="I560" s="25"/>
      <c r="J560" s="32"/>
      <c r="K560" s="25"/>
      <c r="L560" s="30" t="s">
        <v>447</v>
      </c>
      <c r="M560" s="53">
        <f>D557</f>
        <v>738126</v>
      </c>
      <c r="N560" s="53">
        <f>J557</f>
        <v>529202</v>
      </c>
    </row>
    <row r="561" spans="1:15" s="30" customFormat="1" x14ac:dyDescent="0.25">
      <c r="C561" s="34"/>
      <c r="D561" s="32"/>
      <c r="E561" s="25"/>
      <c r="I561" s="25"/>
      <c r="J561" s="32"/>
      <c r="K561" s="25"/>
      <c r="M561" s="51">
        <f>SUM(M559:M560)</f>
        <v>21993799.377</v>
      </c>
      <c r="N561" s="51">
        <f>N559+N560</f>
        <v>20066784</v>
      </c>
    </row>
    <row r="562" spans="1:15" s="30" customFormat="1" x14ac:dyDescent="0.25">
      <c r="C562" s="34"/>
      <c r="D562" s="32"/>
      <c r="E562" s="25"/>
      <c r="F562" s="33"/>
      <c r="G562" s="25"/>
      <c r="H562" s="32"/>
      <c r="I562" s="25"/>
      <c r="J562" s="32"/>
      <c r="K562" s="25"/>
      <c r="N562" s="71">
        <f>-943885.33</f>
        <v>-943885.33</v>
      </c>
      <c r="O562" s="30" t="s">
        <v>453</v>
      </c>
    </row>
    <row r="563" spans="1:15" s="30" customFormat="1" ht="30" x14ac:dyDescent="0.25">
      <c r="C563" s="34" t="s">
        <v>451</v>
      </c>
      <c r="D563" s="42">
        <f>D537+D557</f>
        <v>13353382.377</v>
      </c>
      <c r="E563" s="25"/>
      <c r="F563" s="33"/>
      <c r="G563" s="25"/>
      <c r="H563" s="42">
        <f>D563-J563</f>
        <v>1878745.3770000003</v>
      </c>
      <c r="I563" s="25"/>
      <c r="J563" s="17">
        <f>J537+J557</f>
        <v>11474637</v>
      </c>
      <c r="K563" s="25"/>
      <c r="N563" s="70">
        <f>N561+N562</f>
        <v>19122898.670000002</v>
      </c>
    </row>
    <row r="564" spans="1:15" s="30" customFormat="1" ht="14.25" customHeight="1" x14ac:dyDescent="0.25">
      <c r="C564" s="34"/>
      <c r="D564" s="32"/>
      <c r="E564" s="25"/>
      <c r="F564" s="33"/>
      <c r="G564" s="25"/>
      <c r="H564" s="32"/>
      <c r="I564" s="25"/>
      <c r="J564" s="32"/>
      <c r="K564" s="25"/>
    </row>
    <row r="565" spans="1:15" s="30" customFormat="1" ht="14.25" customHeight="1" x14ac:dyDescent="0.25">
      <c r="C565" s="34"/>
      <c r="D565" s="32"/>
      <c r="E565" s="25"/>
      <c r="F565" s="33" t="s">
        <v>439</v>
      </c>
      <c r="G565" s="25"/>
      <c r="H565" s="42">
        <f>-ROUNDUP((471942.67),0)</f>
        <v>-471943</v>
      </c>
      <c r="I565" s="25"/>
      <c r="J565" s="32"/>
      <c r="K565" s="25"/>
    </row>
    <row r="566" spans="1:15" s="30" customFormat="1" ht="14.25" customHeight="1" x14ac:dyDescent="0.25">
      <c r="C566" s="34"/>
      <c r="D566" s="32"/>
      <c r="E566" s="25"/>
      <c r="F566" s="33"/>
      <c r="G566" s="25"/>
      <c r="H566" s="32"/>
      <c r="I566" s="25"/>
      <c r="J566" s="32"/>
      <c r="K566" s="25"/>
    </row>
    <row r="567" spans="1:15" s="30" customFormat="1" ht="31.5" customHeight="1" x14ac:dyDescent="0.25">
      <c r="C567" s="34" t="s">
        <v>450</v>
      </c>
      <c r="D567" s="49">
        <f>D563+H565</f>
        <v>12881439.377</v>
      </c>
      <c r="E567" s="25"/>
      <c r="F567" s="33"/>
      <c r="G567" s="25"/>
      <c r="H567" s="49">
        <f>H563+H565</f>
        <v>1406802.3770000003</v>
      </c>
      <c r="I567" s="25"/>
      <c r="J567" s="49"/>
      <c r="K567" s="25"/>
    </row>
    <row r="568" spans="1:15" s="30" customFormat="1" ht="14.25" customHeight="1" x14ac:dyDescent="0.25">
      <c r="C568" s="34"/>
      <c r="D568" s="32"/>
      <c r="E568" s="25"/>
      <c r="F568" s="33"/>
      <c r="G568" s="25"/>
      <c r="H568" s="32"/>
      <c r="I568" s="25"/>
      <c r="J568" s="32"/>
      <c r="K568" s="25"/>
    </row>
    <row r="569" spans="1:15" s="30" customFormat="1" x14ac:dyDescent="0.25">
      <c r="D569" s="25"/>
      <c r="E569" s="25"/>
      <c r="F569" s="25"/>
      <c r="G569" s="25"/>
      <c r="H569" s="25"/>
      <c r="I569" s="25"/>
      <c r="J569" s="26"/>
      <c r="K569" s="25"/>
    </row>
    <row r="570" spans="1:15" x14ac:dyDescent="0.25">
      <c r="A570" t="s">
        <v>302</v>
      </c>
      <c r="B570" t="s">
        <v>57</v>
      </c>
      <c r="C570" t="s">
        <v>58</v>
      </c>
      <c r="D570" s="47">
        <f>ROUNDUP((95458.48),0)</f>
        <v>95459</v>
      </c>
      <c r="E570" s="2"/>
      <c r="F570" s="37">
        <f t="shared" ref="F570:F621" si="46">H570/J570</f>
        <v>3.2480314960629919E-2</v>
      </c>
      <c r="G570" s="2"/>
      <c r="H570" s="12">
        <f t="shared" ref="H570:H621" si="47">D570-J570</f>
        <v>3003</v>
      </c>
      <c r="I570" s="2"/>
      <c r="J570" s="12">
        <v>92456</v>
      </c>
      <c r="K570" s="2"/>
      <c r="M570" t="s">
        <v>461</v>
      </c>
    </row>
    <row r="571" spans="1:15" x14ac:dyDescent="0.25">
      <c r="A571" t="s">
        <v>302</v>
      </c>
      <c r="B571" t="s">
        <v>30</v>
      </c>
      <c r="C571" t="s">
        <v>31</v>
      </c>
      <c r="D571" s="47">
        <v>254171.63</v>
      </c>
      <c r="E571" s="2"/>
      <c r="F571" s="37">
        <f t="shared" si="46"/>
        <v>5.1347339074611822E-2</v>
      </c>
      <c r="G571" s="2"/>
      <c r="H571" s="12">
        <f t="shared" si="47"/>
        <v>12413.630000000005</v>
      </c>
      <c r="I571" s="2"/>
      <c r="J571" s="12">
        <v>241758</v>
      </c>
      <c r="K571" s="2"/>
      <c r="M571" t="s">
        <v>461</v>
      </c>
    </row>
    <row r="572" spans="1:15" x14ac:dyDescent="0.25">
      <c r="A572" t="s">
        <v>302</v>
      </c>
      <c r="B572" t="s">
        <v>32</v>
      </c>
      <c r="C572" t="s">
        <v>303</v>
      </c>
      <c r="D572" s="48">
        <f>ROUNDUP((18286.46),0)</f>
        <v>18287</v>
      </c>
      <c r="E572" s="2"/>
      <c r="F572" s="37">
        <f t="shared" si="46"/>
        <v>-8.0454568310956903E-2</v>
      </c>
      <c r="G572" s="2"/>
      <c r="H572" s="12">
        <f t="shared" si="47"/>
        <v>-1600</v>
      </c>
      <c r="I572" s="2"/>
      <c r="J572" s="12">
        <v>19887</v>
      </c>
      <c r="K572" s="2"/>
      <c r="M572" t="s">
        <v>461</v>
      </c>
    </row>
    <row r="573" spans="1:15" x14ac:dyDescent="0.25">
      <c r="A573" t="s">
        <v>302</v>
      </c>
      <c r="B573" t="s">
        <v>61</v>
      </c>
      <c r="C573" t="s">
        <v>62</v>
      </c>
      <c r="D573" s="47">
        <v>22900</v>
      </c>
      <c r="E573" s="2"/>
      <c r="F573" s="37">
        <f t="shared" si="46"/>
        <v>0</v>
      </c>
      <c r="G573" s="2"/>
      <c r="H573" s="12">
        <f t="shared" si="47"/>
        <v>0</v>
      </c>
      <c r="I573" s="2"/>
      <c r="J573" s="12">
        <v>22900</v>
      </c>
      <c r="K573" s="2"/>
      <c r="M573" t="s">
        <v>461</v>
      </c>
    </row>
    <row r="574" spans="1:15" x14ac:dyDescent="0.25">
      <c r="A574" t="s">
        <v>302</v>
      </c>
      <c r="B574" t="s">
        <v>34</v>
      </c>
      <c r="C574" t="s">
        <v>35</v>
      </c>
      <c r="D574" s="47">
        <f>ROUNDUP((411.6),0)</f>
        <v>412</v>
      </c>
      <c r="E574" s="2"/>
      <c r="F574" s="37">
        <f t="shared" si="46"/>
        <v>-7.829977628635347E-2</v>
      </c>
      <c r="G574" s="2"/>
      <c r="H574" s="12">
        <f t="shared" si="47"/>
        <v>-35</v>
      </c>
      <c r="I574" s="2"/>
      <c r="J574" s="12">
        <v>447</v>
      </c>
      <c r="K574" s="2"/>
      <c r="M574" t="s">
        <v>461</v>
      </c>
    </row>
    <row r="575" spans="1:15" x14ac:dyDescent="0.25">
      <c r="A575" t="s">
        <v>302</v>
      </c>
      <c r="B575" t="s">
        <v>9</v>
      </c>
      <c r="C575" t="s">
        <v>10</v>
      </c>
      <c r="D575" s="47">
        <v>13284.14</v>
      </c>
      <c r="E575" s="2"/>
      <c r="F575" s="37">
        <f t="shared" si="46"/>
        <v>0.2781814682959684</v>
      </c>
      <c r="G575" s="2"/>
      <c r="H575" s="12">
        <f t="shared" si="47"/>
        <v>2891.1399999999994</v>
      </c>
      <c r="I575" s="2"/>
      <c r="J575" s="12">
        <v>10393</v>
      </c>
      <c r="K575" s="2"/>
      <c r="M575" t="s">
        <v>461</v>
      </c>
    </row>
    <row r="576" spans="1:15" x14ac:dyDescent="0.25">
      <c r="A576" t="s">
        <v>302</v>
      </c>
      <c r="B576" t="s">
        <v>36</v>
      </c>
      <c r="C576" t="s">
        <v>304</v>
      </c>
      <c r="D576" s="47">
        <v>37998.07</v>
      </c>
      <c r="E576" s="2"/>
      <c r="F576" s="37">
        <f t="shared" si="46"/>
        <v>4.315790918574644E-2</v>
      </c>
      <c r="G576" s="2"/>
      <c r="H576" s="12">
        <f t="shared" si="47"/>
        <v>1572.0699999999997</v>
      </c>
      <c r="I576" s="2"/>
      <c r="J576" s="12">
        <v>36426</v>
      </c>
      <c r="K576" s="2"/>
      <c r="M576" t="s">
        <v>461</v>
      </c>
    </row>
    <row r="577" spans="1:13" x14ac:dyDescent="0.25">
      <c r="A577" t="s">
        <v>302</v>
      </c>
      <c r="B577" t="s">
        <v>305</v>
      </c>
      <c r="C577" t="s">
        <v>306</v>
      </c>
      <c r="D577" s="48">
        <f>ROUNDUP((6070.61),0)</f>
        <v>6071</v>
      </c>
      <c r="E577" s="2"/>
      <c r="F577" s="37">
        <f t="shared" si="46"/>
        <v>-0.30838459785828209</v>
      </c>
      <c r="G577" s="2"/>
      <c r="H577" s="12">
        <f t="shared" si="47"/>
        <v>-2707</v>
      </c>
      <c r="I577" s="2"/>
      <c r="J577" s="12">
        <v>8778</v>
      </c>
      <c r="K577" s="2"/>
      <c r="M577" t="s">
        <v>461</v>
      </c>
    </row>
    <row r="578" spans="1:13" x14ac:dyDescent="0.25">
      <c r="A578" t="s">
        <v>302</v>
      </c>
      <c r="B578" t="s">
        <v>38</v>
      </c>
      <c r="C578" t="s">
        <v>307</v>
      </c>
      <c r="D578" s="47">
        <f>ROUNDUP((52347.75),0)</f>
        <v>52348</v>
      </c>
      <c r="E578" s="2"/>
      <c r="F578" s="37">
        <f t="shared" si="46"/>
        <v>-0.53593021400329777</v>
      </c>
      <c r="G578" s="2"/>
      <c r="H578" s="12">
        <f t="shared" si="47"/>
        <v>-60454</v>
      </c>
      <c r="I578" s="2"/>
      <c r="J578" s="12">
        <v>112802</v>
      </c>
      <c r="K578" s="2"/>
      <c r="M578" t="s">
        <v>461</v>
      </c>
    </row>
    <row r="579" spans="1:13" x14ac:dyDescent="0.25">
      <c r="A579" t="s">
        <v>302</v>
      </c>
      <c r="B579" t="s">
        <v>90</v>
      </c>
      <c r="C579" t="s">
        <v>91</v>
      </c>
      <c r="D579" s="48">
        <f>ROUNDUP((3724*1.03),0)</f>
        <v>3836</v>
      </c>
      <c r="E579" s="2"/>
      <c r="F579" s="37">
        <f t="shared" si="46"/>
        <v>3.007518796992481E-2</v>
      </c>
      <c r="G579" s="2"/>
      <c r="H579" s="12">
        <f t="shared" si="47"/>
        <v>112</v>
      </c>
      <c r="I579" s="2"/>
      <c r="J579" s="12">
        <v>3724</v>
      </c>
      <c r="K579" s="2"/>
      <c r="M579" t="s">
        <v>461</v>
      </c>
    </row>
    <row r="580" spans="1:13" x14ac:dyDescent="0.25">
      <c r="A580" t="s">
        <v>302</v>
      </c>
      <c r="B580" t="s">
        <v>11</v>
      </c>
      <c r="C580" t="s">
        <v>118</v>
      </c>
      <c r="D580" s="47">
        <v>28498.55</v>
      </c>
      <c r="E580" s="2"/>
      <c r="F580" s="37">
        <f t="shared" si="46"/>
        <v>3.7140621588179608E-2</v>
      </c>
      <c r="G580" s="2"/>
      <c r="H580" s="12">
        <f t="shared" si="47"/>
        <v>1020.5499999999993</v>
      </c>
      <c r="I580" s="2"/>
      <c r="J580" s="12">
        <v>27478</v>
      </c>
      <c r="K580" s="2"/>
      <c r="M580" t="s">
        <v>461</v>
      </c>
    </row>
    <row r="581" spans="1:13" x14ac:dyDescent="0.25">
      <c r="A581" t="s">
        <v>302</v>
      </c>
      <c r="B581" t="s">
        <v>192</v>
      </c>
      <c r="C581" t="s">
        <v>193</v>
      </c>
      <c r="D581" s="47">
        <v>400</v>
      </c>
      <c r="E581" s="2"/>
      <c r="F581" s="37">
        <f t="shared" si="46"/>
        <v>0.6</v>
      </c>
      <c r="G581" s="2"/>
      <c r="H581" s="12">
        <f t="shared" si="47"/>
        <v>150</v>
      </c>
      <c r="I581" s="2"/>
      <c r="J581" s="12">
        <v>250</v>
      </c>
      <c r="K581" s="2"/>
      <c r="M581" t="s">
        <v>461</v>
      </c>
    </row>
    <row r="582" spans="1:13" x14ac:dyDescent="0.25">
      <c r="A582" t="s">
        <v>302</v>
      </c>
      <c r="B582" t="s">
        <v>13</v>
      </c>
      <c r="C582" t="s">
        <v>308</v>
      </c>
      <c r="D582" s="47">
        <v>2500</v>
      </c>
      <c r="E582" s="2"/>
      <c r="F582" s="37">
        <f t="shared" si="46"/>
        <v>0</v>
      </c>
      <c r="G582" s="2"/>
      <c r="H582" s="12">
        <f t="shared" si="47"/>
        <v>0</v>
      </c>
      <c r="I582" s="2"/>
      <c r="J582" s="12">
        <v>2500</v>
      </c>
      <c r="K582" s="2"/>
      <c r="M582" t="s">
        <v>461</v>
      </c>
    </row>
    <row r="583" spans="1:13" x14ac:dyDescent="0.25">
      <c r="A583" t="s">
        <v>302</v>
      </c>
      <c r="B583" t="s">
        <v>227</v>
      </c>
      <c r="C583" t="s">
        <v>228</v>
      </c>
      <c r="D583" s="47">
        <v>42700</v>
      </c>
      <c r="E583" s="2"/>
      <c r="F583" s="37">
        <f t="shared" si="46"/>
        <v>0</v>
      </c>
      <c r="G583" s="2"/>
      <c r="H583" s="12">
        <f t="shared" si="47"/>
        <v>0</v>
      </c>
      <c r="I583" s="2"/>
      <c r="J583" s="12">
        <v>42700</v>
      </c>
      <c r="K583" s="2"/>
      <c r="M583" t="s">
        <v>461</v>
      </c>
    </row>
    <row r="584" spans="1:13" x14ac:dyDescent="0.25">
      <c r="A584" t="s">
        <v>302</v>
      </c>
      <c r="B584" t="s">
        <v>19</v>
      </c>
      <c r="C584" t="s">
        <v>20</v>
      </c>
      <c r="D584" s="47">
        <v>8500</v>
      </c>
      <c r="E584" s="2"/>
      <c r="F584" s="37">
        <f t="shared" si="46"/>
        <v>0</v>
      </c>
      <c r="G584" s="2"/>
      <c r="H584" s="12">
        <f t="shared" si="47"/>
        <v>0</v>
      </c>
      <c r="I584" s="2"/>
      <c r="J584" s="12">
        <v>8500</v>
      </c>
      <c r="K584" s="2"/>
      <c r="M584" t="s">
        <v>461</v>
      </c>
    </row>
    <row r="585" spans="1:13" x14ac:dyDescent="0.25">
      <c r="A585" t="s">
        <v>302</v>
      </c>
      <c r="B585" t="s">
        <v>21</v>
      </c>
      <c r="C585" t="s">
        <v>22</v>
      </c>
      <c r="D585" s="47">
        <v>300</v>
      </c>
      <c r="E585" s="2"/>
      <c r="F585" s="37">
        <f t="shared" si="46"/>
        <v>0</v>
      </c>
      <c r="G585" s="2"/>
      <c r="H585" s="12">
        <f t="shared" si="47"/>
        <v>0</v>
      </c>
      <c r="I585" s="2"/>
      <c r="J585" s="12">
        <v>300</v>
      </c>
      <c r="K585" s="2"/>
      <c r="M585" t="s">
        <v>461</v>
      </c>
    </row>
    <row r="586" spans="1:13" x14ac:dyDescent="0.25">
      <c r="A586" t="s">
        <v>302</v>
      </c>
      <c r="B586" t="s">
        <v>194</v>
      </c>
      <c r="C586" t="s">
        <v>195</v>
      </c>
      <c r="D586" s="47">
        <v>400</v>
      </c>
      <c r="E586" s="2"/>
      <c r="F586" s="37">
        <f t="shared" si="46"/>
        <v>0</v>
      </c>
      <c r="G586" s="2"/>
      <c r="H586" s="12">
        <f t="shared" si="47"/>
        <v>0</v>
      </c>
      <c r="I586" s="2"/>
      <c r="J586" s="12">
        <v>400</v>
      </c>
      <c r="K586" s="2"/>
      <c r="M586" t="s">
        <v>461</v>
      </c>
    </row>
    <row r="587" spans="1:13" x14ac:dyDescent="0.25">
      <c r="A587" t="s">
        <v>302</v>
      </c>
      <c r="B587" t="s">
        <v>309</v>
      </c>
      <c r="C587" t="s">
        <v>310</v>
      </c>
      <c r="D587" s="47">
        <v>3000</v>
      </c>
      <c r="E587" s="2"/>
      <c r="F587" s="37">
        <f t="shared" si="46"/>
        <v>0</v>
      </c>
      <c r="G587" s="2"/>
      <c r="H587" s="12">
        <f t="shared" si="47"/>
        <v>0</v>
      </c>
      <c r="I587" s="2"/>
      <c r="J587" s="12">
        <v>3000</v>
      </c>
      <c r="K587" s="2"/>
      <c r="M587" t="s">
        <v>461</v>
      </c>
    </row>
    <row r="588" spans="1:13" x14ac:dyDescent="0.25">
      <c r="A588" t="s">
        <v>302</v>
      </c>
      <c r="B588" t="s">
        <v>153</v>
      </c>
      <c r="C588" t="s">
        <v>154</v>
      </c>
      <c r="D588" s="47">
        <v>4500</v>
      </c>
      <c r="E588" s="2"/>
      <c r="F588" s="37">
        <f t="shared" si="46"/>
        <v>5.8823529411764705E-2</v>
      </c>
      <c r="G588" s="2"/>
      <c r="H588" s="12">
        <f t="shared" si="47"/>
        <v>250</v>
      </c>
      <c r="I588" s="2"/>
      <c r="J588" s="12">
        <v>4250</v>
      </c>
      <c r="K588" s="2"/>
      <c r="M588" t="s">
        <v>461</v>
      </c>
    </row>
    <row r="589" spans="1:13" x14ac:dyDescent="0.25">
      <c r="A589" t="s">
        <v>302</v>
      </c>
      <c r="B589" t="s">
        <v>40</v>
      </c>
      <c r="C589" t="s">
        <v>137</v>
      </c>
      <c r="D589" s="47">
        <v>2564</v>
      </c>
      <c r="E589" s="2"/>
      <c r="F589" s="37">
        <f t="shared" si="46"/>
        <v>0</v>
      </c>
      <c r="G589" s="2"/>
      <c r="H589" s="12">
        <f t="shared" si="47"/>
        <v>0</v>
      </c>
      <c r="I589" s="2"/>
      <c r="J589" s="12">
        <v>2564</v>
      </c>
      <c r="K589" s="2"/>
      <c r="M589" t="s">
        <v>461</v>
      </c>
    </row>
    <row r="590" spans="1:13" x14ac:dyDescent="0.25">
      <c r="A590" t="s">
        <v>302</v>
      </c>
      <c r="B590" t="s">
        <v>85</v>
      </c>
      <c r="C590" t="s">
        <v>86</v>
      </c>
      <c r="D590" s="47">
        <v>6100</v>
      </c>
      <c r="E590" s="2"/>
      <c r="F590" s="37">
        <f t="shared" si="46"/>
        <v>0.2847514743049705</v>
      </c>
      <c r="G590" s="2"/>
      <c r="H590" s="12">
        <f t="shared" si="47"/>
        <v>1352</v>
      </c>
      <c r="I590" s="2"/>
      <c r="J590" s="12">
        <v>4748</v>
      </c>
      <c r="K590" s="2"/>
      <c r="M590" t="s">
        <v>461</v>
      </c>
    </row>
    <row r="591" spans="1:13" x14ac:dyDescent="0.25">
      <c r="A591" t="s">
        <v>302</v>
      </c>
      <c r="B591" t="s">
        <v>157</v>
      </c>
      <c r="C591" t="s">
        <v>158</v>
      </c>
      <c r="D591" s="47">
        <v>2410</v>
      </c>
      <c r="E591" s="2"/>
      <c r="F591" s="37">
        <f t="shared" si="46"/>
        <v>0.37243735763097952</v>
      </c>
      <c r="G591" s="2"/>
      <c r="H591" s="12">
        <f t="shared" si="47"/>
        <v>654</v>
      </c>
      <c r="I591" s="2"/>
      <c r="J591" s="12">
        <v>1756</v>
      </c>
      <c r="K591" s="2"/>
      <c r="M591" t="s">
        <v>461</v>
      </c>
    </row>
    <row r="592" spans="1:13" x14ac:dyDescent="0.25">
      <c r="A592" t="s">
        <v>302</v>
      </c>
      <c r="B592" t="s">
        <v>23</v>
      </c>
      <c r="C592" t="s">
        <v>273</v>
      </c>
      <c r="D592" s="47">
        <v>3000</v>
      </c>
      <c r="E592" s="2"/>
      <c r="F592" s="37">
        <f t="shared" si="46"/>
        <v>0</v>
      </c>
      <c r="G592" s="2"/>
      <c r="H592" s="12">
        <f t="shared" si="47"/>
        <v>0</v>
      </c>
      <c r="I592" s="2"/>
      <c r="J592" s="12">
        <v>3000</v>
      </c>
      <c r="K592" s="2"/>
      <c r="M592" t="s">
        <v>461</v>
      </c>
    </row>
    <row r="593" spans="1:13" x14ac:dyDescent="0.25">
      <c r="A593" t="s">
        <v>302</v>
      </c>
      <c r="B593" t="s">
        <v>44</v>
      </c>
      <c r="C593" t="s">
        <v>311</v>
      </c>
      <c r="D593" s="47">
        <v>300</v>
      </c>
      <c r="E593" s="2"/>
      <c r="F593" s="37">
        <f t="shared" si="46"/>
        <v>0</v>
      </c>
      <c r="G593" s="2"/>
      <c r="H593" s="12">
        <f t="shared" si="47"/>
        <v>0</v>
      </c>
      <c r="I593" s="2"/>
      <c r="J593" s="12">
        <v>300</v>
      </c>
      <c r="K593" s="2"/>
      <c r="M593" t="s">
        <v>461</v>
      </c>
    </row>
    <row r="594" spans="1:13" x14ac:dyDescent="0.25">
      <c r="A594" t="s">
        <v>302</v>
      </c>
      <c r="B594" t="s">
        <v>206</v>
      </c>
      <c r="C594" t="s">
        <v>207</v>
      </c>
      <c r="D594" s="47">
        <v>2100</v>
      </c>
      <c r="E594" s="2"/>
      <c r="F594" s="37">
        <f t="shared" si="46"/>
        <v>0.3125</v>
      </c>
      <c r="G594" s="2"/>
      <c r="H594" s="12">
        <f t="shared" si="47"/>
        <v>500</v>
      </c>
      <c r="I594" s="2"/>
      <c r="J594" s="12">
        <v>1600</v>
      </c>
      <c r="K594" s="2"/>
      <c r="M594" t="s">
        <v>461</v>
      </c>
    </row>
    <row r="595" spans="1:13" x14ac:dyDescent="0.25">
      <c r="A595" t="s">
        <v>302</v>
      </c>
      <c r="B595" t="s">
        <v>54</v>
      </c>
      <c r="C595" t="s">
        <v>55</v>
      </c>
      <c r="D595" s="47">
        <v>1000</v>
      </c>
      <c r="E595" s="2"/>
      <c r="F595" s="37">
        <f t="shared" si="46"/>
        <v>0</v>
      </c>
      <c r="G595" s="2"/>
      <c r="H595" s="12">
        <f t="shared" si="47"/>
        <v>0</v>
      </c>
      <c r="I595" s="2"/>
      <c r="J595" s="12">
        <v>1000</v>
      </c>
      <c r="K595" s="2"/>
      <c r="M595" t="s">
        <v>461</v>
      </c>
    </row>
    <row r="596" spans="1:13" x14ac:dyDescent="0.25">
      <c r="A596" t="s">
        <v>302</v>
      </c>
      <c r="B596" t="s">
        <v>46</v>
      </c>
      <c r="C596" t="s">
        <v>47</v>
      </c>
      <c r="D596" s="47">
        <v>2634</v>
      </c>
      <c r="E596" s="2"/>
      <c r="F596" s="37">
        <f t="shared" si="46"/>
        <v>0</v>
      </c>
      <c r="G596" s="2"/>
      <c r="H596" s="12">
        <f t="shared" si="47"/>
        <v>0</v>
      </c>
      <c r="I596" s="2"/>
      <c r="J596" s="12">
        <v>2634</v>
      </c>
      <c r="K596" s="2"/>
      <c r="M596" t="s">
        <v>461</v>
      </c>
    </row>
    <row r="597" spans="1:13" x14ac:dyDescent="0.25">
      <c r="A597" t="s">
        <v>302</v>
      </c>
      <c r="B597" t="s">
        <v>67</v>
      </c>
      <c r="C597" t="s">
        <v>68</v>
      </c>
      <c r="D597" s="47">
        <v>10000</v>
      </c>
      <c r="E597" s="2"/>
      <c r="F597" s="37">
        <f t="shared" si="46"/>
        <v>0</v>
      </c>
      <c r="G597" s="2"/>
      <c r="H597" s="12">
        <f t="shared" si="47"/>
        <v>0</v>
      </c>
      <c r="I597" s="2"/>
      <c r="J597" s="12">
        <v>10000</v>
      </c>
      <c r="K597" s="2"/>
      <c r="M597" t="s">
        <v>461</v>
      </c>
    </row>
    <row r="598" spans="1:13" x14ac:dyDescent="0.25">
      <c r="A598" t="s">
        <v>302</v>
      </c>
      <c r="B598" t="s">
        <v>312</v>
      </c>
      <c r="C598" t="s">
        <v>313</v>
      </c>
      <c r="D598" s="47">
        <v>3500</v>
      </c>
      <c r="E598" s="2"/>
      <c r="F598" s="37">
        <f t="shared" si="46"/>
        <v>0</v>
      </c>
      <c r="G598" s="2"/>
      <c r="H598" s="12">
        <f t="shared" si="47"/>
        <v>0</v>
      </c>
      <c r="I598" s="2"/>
      <c r="J598" s="12">
        <v>3500</v>
      </c>
      <c r="K598" s="2"/>
      <c r="M598" t="s">
        <v>461</v>
      </c>
    </row>
    <row r="599" spans="1:13" x14ac:dyDescent="0.25">
      <c r="A599" t="s">
        <v>302</v>
      </c>
      <c r="B599" t="s">
        <v>119</v>
      </c>
      <c r="C599" t="s">
        <v>120</v>
      </c>
      <c r="D599" s="47">
        <v>120000</v>
      </c>
      <c r="E599" s="2"/>
      <c r="F599" s="37">
        <f t="shared" si="46"/>
        <v>0</v>
      </c>
      <c r="G599" s="2"/>
      <c r="H599" s="12">
        <f t="shared" si="47"/>
        <v>0</v>
      </c>
      <c r="I599" s="2"/>
      <c r="J599" s="12">
        <v>120000</v>
      </c>
      <c r="K599" s="2"/>
      <c r="M599" t="s">
        <v>461</v>
      </c>
    </row>
    <row r="600" spans="1:13" x14ac:dyDescent="0.25">
      <c r="A600" t="s">
        <v>302</v>
      </c>
      <c r="B600" t="s">
        <v>121</v>
      </c>
      <c r="C600" t="s">
        <v>122</v>
      </c>
      <c r="D600" s="47">
        <f>20000*1.14</f>
        <v>22799.999999999996</v>
      </c>
      <c r="E600" s="2"/>
      <c r="F600" s="37">
        <f t="shared" si="46"/>
        <v>0.47096774193548363</v>
      </c>
      <c r="G600" s="2"/>
      <c r="H600" s="12">
        <f t="shared" si="47"/>
        <v>7299.9999999999964</v>
      </c>
      <c r="I600" s="2"/>
      <c r="J600" s="12">
        <v>15500</v>
      </c>
      <c r="K600" s="2"/>
      <c r="M600" t="s">
        <v>461</v>
      </c>
    </row>
    <row r="601" spans="1:13" x14ac:dyDescent="0.25">
      <c r="A601" t="s">
        <v>302</v>
      </c>
      <c r="B601" t="s">
        <v>123</v>
      </c>
      <c r="C601" t="s">
        <v>124</v>
      </c>
      <c r="D601" s="47">
        <v>950</v>
      </c>
      <c r="E601" s="2"/>
      <c r="F601" s="37">
        <f t="shared" si="46"/>
        <v>0</v>
      </c>
      <c r="G601" s="2"/>
      <c r="H601" s="12">
        <f t="shared" si="47"/>
        <v>0</v>
      </c>
      <c r="I601" s="2"/>
      <c r="J601" s="12">
        <v>950</v>
      </c>
      <c r="K601" s="2"/>
      <c r="M601" t="s">
        <v>461</v>
      </c>
    </row>
    <row r="602" spans="1:13" x14ac:dyDescent="0.25">
      <c r="A602" t="s">
        <v>302</v>
      </c>
      <c r="B602" t="s">
        <v>127</v>
      </c>
      <c r="C602" t="s">
        <v>128</v>
      </c>
      <c r="D602" s="47">
        <v>9500</v>
      </c>
      <c r="E602" s="2"/>
      <c r="F602" s="37">
        <f t="shared" si="46"/>
        <v>0</v>
      </c>
      <c r="G602" s="2"/>
      <c r="H602" s="12">
        <f t="shared" si="47"/>
        <v>0</v>
      </c>
      <c r="I602" s="2"/>
      <c r="J602" s="12">
        <v>9500</v>
      </c>
      <c r="K602" s="2"/>
      <c r="M602" t="s">
        <v>461</v>
      </c>
    </row>
    <row r="603" spans="1:13" x14ac:dyDescent="0.25">
      <c r="A603" t="s">
        <v>302</v>
      </c>
      <c r="B603" t="s">
        <v>115</v>
      </c>
      <c r="C603" t="s">
        <v>116</v>
      </c>
      <c r="D603" s="47">
        <v>19080</v>
      </c>
      <c r="E603" s="2"/>
      <c r="F603" s="37">
        <f t="shared" si="46"/>
        <v>-0.48432432432432432</v>
      </c>
      <c r="G603" s="2"/>
      <c r="H603" s="12">
        <f t="shared" si="47"/>
        <v>-17920</v>
      </c>
      <c r="I603" s="2"/>
      <c r="J603" s="12">
        <v>37000</v>
      </c>
      <c r="K603" s="2"/>
      <c r="M603" t="s">
        <v>461</v>
      </c>
    </row>
    <row r="604" spans="1:13" x14ac:dyDescent="0.25">
      <c r="A604" t="s">
        <v>302</v>
      </c>
      <c r="B604" t="s">
        <v>214</v>
      </c>
      <c r="C604" t="s">
        <v>215</v>
      </c>
      <c r="D604" s="47">
        <v>7500</v>
      </c>
      <c r="E604" s="2"/>
      <c r="F604" s="37">
        <f t="shared" si="46"/>
        <v>0</v>
      </c>
      <c r="G604" s="2"/>
      <c r="H604" s="12">
        <f t="shared" si="47"/>
        <v>0</v>
      </c>
      <c r="I604" s="2"/>
      <c r="J604" s="12">
        <v>7500</v>
      </c>
      <c r="K604" s="2"/>
      <c r="M604" t="s">
        <v>461</v>
      </c>
    </row>
    <row r="605" spans="1:13" x14ac:dyDescent="0.25">
      <c r="A605" t="s">
        <v>302</v>
      </c>
      <c r="B605" t="s">
        <v>314</v>
      </c>
      <c r="C605" t="s">
        <v>315</v>
      </c>
      <c r="D605" s="47">
        <v>72000</v>
      </c>
      <c r="E605" s="2"/>
      <c r="F605" s="37">
        <f t="shared" si="46"/>
        <v>0</v>
      </c>
      <c r="G605" s="2"/>
      <c r="H605" s="12">
        <f t="shared" si="47"/>
        <v>0</v>
      </c>
      <c r="I605" s="2"/>
      <c r="J605" s="12">
        <v>72000</v>
      </c>
      <c r="K605" s="2"/>
      <c r="M605" t="s">
        <v>461</v>
      </c>
    </row>
    <row r="606" spans="1:13" x14ac:dyDescent="0.25">
      <c r="A606" t="s">
        <v>302</v>
      </c>
      <c r="B606" t="s">
        <v>316</v>
      </c>
      <c r="C606" t="s">
        <v>317</v>
      </c>
      <c r="D606" s="47">
        <v>14000</v>
      </c>
      <c r="E606" s="2"/>
      <c r="F606" s="37">
        <f t="shared" si="46"/>
        <v>0.4</v>
      </c>
      <c r="G606" s="2"/>
      <c r="H606" s="12">
        <f t="shared" si="47"/>
        <v>4000</v>
      </c>
      <c r="I606" s="2"/>
      <c r="J606" s="12">
        <v>10000</v>
      </c>
      <c r="K606" s="2"/>
      <c r="M606" t="s">
        <v>461</v>
      </c>
    </row>
    <row r="607" spans="1:13" x14ac:dyDescent="0.25">
      <c r="A607" t="s">
        <v>302</v>
      </c>
      <c r="B607" t="s">
        <v>318</v>
      </c>
      <c r="C607" s="39" t="s">
        <v>319</v>
      </c>
      <c r="D607" s="47">
        <v>188000</v>
      </c>
      <c r="E607" s="2"/>
      <c r="F607" s="37">
        <f t="shared" si="46"/>
        <v>0.504</v>
      </c>
      <c r="G607" s="2"/>
      <c r="H607" s="12">
        <f t="shared" si="47"/>
        <v>63000</v>
      </c>
      <c r="I607" s="2"/>
      <c r="J607" s="12">
        <v>125000</v>
      </c>
      <c r="K607" s="2"/>
      <c r="M607" t="s">
        <v>461</v>
      </c>
    </row>
    <row r="608" spans="1:13" x14ac:dyDescent="0.25">
      <c r="A608" t="s">
        <v>302</v>
      </c>
      <c r="B608" t="s">
        <v>233</v>
      </c>
      <c r="C608" t="s">
        <v>234</v>
      </c>
      <c r="D608" s="47">
        <v>2800</v>
      </c>
      <c r="E608" s="2"/>
      <c r="F608" s="37">
        <f t="shared" si="46"/>
        <v>0.35265700483091789</v>
      </c>
      <c r="G608" s="2"/>
      <c r="H608" s="12">
        <f t="shared" si="47"/>
        <v>730</v>
      </c>
      <c r="I608" s="2"/>
      <c r="J608" s="12">
        <v>2070</v>
      </c>
      <c r="K608" s="2"/>
      <c r="M608" t="s">
        <v>461</v>
      </c>
    </row>
    <row r="609" spans="1:13" x14ac:dyDescent="0.25">
      <c r="A609" t="s">
        <v>302</v>
      </c>
      <c r="B609" t="s">
        <v>320</v>
      </c>
      <c r="C609" t="s">
        <v>321</v>
      </c>
      <c r="D609" s="47">
        <v>10000</v>
      </c>
      <c r="E609" s="2"/>
      <c r="F609" s="37">
        <f t="shared" si="46"/>
        <v>0</v>
      </c>
      <c r="G609" s="2"/>
      <c r="H609" s="12">
        <f t="shared" si="47"/>
        <v>0</v>
      </c>
      <c r="I609" s="2"/>
      <c r="J609" s="12">
        <v>10000</v>
      </c>
      <c r="K609" s="2"/>
      <c r="M609" t="s">
        <v>461</v>
      </c>
    </row>
    <row r="610" spans="1:13" x14ac:dyDescent="0.25">
      <c r="A610" t="s">
        <v>302</v>
      </c>
      <c r="B610" t="s">
        <v>92</v>
      </c>
      <c r="C610" t="s">
        <v>93</v>
      </c>
      <c r="D610" s="48">
        <f>ROUNDUP((1224.75),0)</f>
        <v>1225</v>
      </c>
      <c r="E610" s="2"/>
      <c r="F610" s="37">
        <f t="shared" si="46"/>
        <v>0.15023474178403756</v>
      </c>
      <c r="G610" s="2"/>
      <c r="H610" s="12">
        <f t="shared" si="47"/>
        <v>160</v>
      </c>
      <c r="I610" s="2"/>
      <c r="J610" s="12">
        <v>1065</v>
      </c>
      <c r="K610" s="2"/>
      <c r="M610" t="s">
        <v>461</v>
      </c>
    </row>
    <row r="611" spans="1:13" x14ac:dyDescent="0.25">
      <c r="A611" t="s">
        <v>302</v>
      </c>
      <c r="B611" t="s">
        <v>94</v>
      </c>
      <c r="C611" t="s">
        <v>95</v>
      </c>
      <c r="D611" s="48">
        <v>1035</v>
      </c>
      <c r="E611" s="2"/>
      <c r="F611" s="37">
        <f t="shared" si="46"/>
        <v>0.15</v>
      </c>
      <c r="G611" s="2"/>
      <c r="H611" s="12">
        <f t="shared" si="47"/>
        <v>135</v>
      </c>
      <c r="I611" s="2"/>
      <c r="J611" s="12">
        <v>900</v>
      </c>
      <c r="K611" s="2"/>
      <c r="M611" t="s">
        <v>461</v>
      </c>
    </row>
    <row r="612" spans="1:13" x14ac:dyDescent="0.25">
      <c r="A612" t="s">
        <v>302</v>
      </c>
      <c r="B612" t="s">
        <v>98</v>
      </c>
      <c r="C612" t="s">
        <v>99</v>
      </c>
      <c r="D612" s="48">
        <f>ROUNDUP((11907.1),0)</f>
        <v>11908</v>
      </c>
      <c r="E612" s="2"/>
      <c r="F612" s="37">
        <f t="shared" si="46"/>
        <v>0.15008692292833686</v>
      </c>
      <c r="G612" s="2"/>
      <c r="H612" s="12">
        <f t="shared" si="47"/>
        <v>1554</v>
      </c>
      <c r="I612" s="2"/>
      <c r="J612" s="12">
        <v>10354</v>
      </c>
      <c r="K612" s="2"/>
      <c r="M612" t="s">
        <v>461</v>
      </c>
    </row>
    <row r="613" spans="1:13" x14ac:dyDescent="0.25">
      <c r="A613" t="s">
        <v>302</v>
      </c>
      <c r="B613" t="s">
        <v>322</v>
      </c>
      <c r="C613" t="s">
        <v>323</v>
      </c>
      <c r="D613" s="47">
        <v>205200</v>
      </c>
      <c r="E613" s="2"/>
      <c r="F613" s="37">
        <f t="shared" si="46"/>
        <v>0.2808988764044944</v>
      </c>
      <c r="G613" s="2"/>
      <c r="H613" s="12">
        <f t="shared" si="47"/>
        <v>45000</v>
      </c>
      <c r="I613" s="2"/>
      <c r="J613" s="12">
        <v>160200</v>
      </c>
      <c r="K613" s="2"/>
      <c r="M613" t="s">
        <v>461</v>
      </c>
    </row>
    <row r="614" spans="1:13" x14ac:dyDescent="0.25">
      <c r="A614" t="s">
        <v>302</v>
      </c>
      <c r="B614" t="s">
        <v>324</v>
      </c>
      <c r="C614" t="s">
        <v>325</v>
      </c>
      <c r="D614" s="48">
        <v>2200</v>
      </c>
      <c r="E614" s="2"/>
      <c r="F614" s="37">
        <f t="shared" si="46"/>
        <v>0</v>
      </c>
      <c r="G614" s="2"/>
      <c r="H614" s="12">
        <f t="shared" si="47"/>
        <v>0</v>
      </c>
      <c r="I614" s="2"/>
      <c r="J614" s="12">
        <v>2200</v>
      </c>
      <c r="K614" s="2"/>
      <c r="M614" t="s">
        <v>461</v>
      </c>
    </row>
    <row r="615" spans="1:13" x14ac:dyDescent="0.25">
      <c r="A615" t="s">
        <v>302</v>
      </c>
      <c r="B615" t="s">
        <v>326</v>
      </c>
      <c r="C615" t="s">
        <v>327</v>
      </c>
      <c r="D615" s="47">
        <v>0</v>
      </c>
      <c r="E615" s="2"/>
      <c r="F615" s="37">
        <f t="shared" si="46"/>
        <v>-1</v>
      </c>
      <c r="G615" s="2"/>
      <c r="H615" s="12">
        <f t="shared" si="47"/>
        <v>-37313</v>
      </c>
      <c r="I615" s="2"/>
      <c r="J615" s="12">
        <v>37313</v>
      </c>
      <c r="K615" s="2"/>
      <c r="M615" t="s">
        <v>461</v>
      </c>
    </row>
    <row r="616" spans="1:13" x14ac:dyDescent="0.25">
      <c r="A616" t="s">
        <v>302</v>
      </c>
      <c r="B616" t="s">
        <v>328</v>
      </c>
      <c r="C616" t="s">
        <v>329</v>
      </c>
      <c r="D616" s="47">
        <v>17500</v>
      </c>
      <c r="E616" s="2"/>
      <c r="F616" s="37">
        <f t="shared" si="46"/>
        <v>0</v>
      </c>
      <c r="G616" s="2"/>
      <c r="H616" s="12">
        <f t="shared" si="47"/>
        <v>0</v>
      </c>
      <c r="I616" s="2"/>
      <c r="J616" s="12">
        <v>17500</v>
      </c>
      <c r="K616" s="2"/>
      <c r="M616" t="s">
        <v>461</v>
      </c>
    </row>
    <row r="617" spans="1:13" x14ac:dyDescent="0.25">
      <c r="A617" t="s">
        <v>302</v>
      </c>
      <c r="B617" t="s">
        <v>283</v>
      </c>
      <c r="C617" t="s">
        <v>330</v>
      </c>
      <c r="D617" s="47">
        <v>25000</v>
      </c>
      <c r="E617" s="2"/>
      <c r="F617" s="37">
        <f t="shared" si="46"/>
        <v>0</v>
      </c>
      <c r="G617" s="2"/>
      <c r="H617" s="12">
        <f t="shared" si="47"/>
        <v>0</v>
      </c>
      <c r="I617" s="2"/>
      <c r="J617" s="12">
        <v>25000</v>
      </c>
      <c r="K617" s="2"/>
      <c r="M617" t="s">
        <v>461</v>
      </c>
    </row>
    <row r="618" spans="1:13" x14ac:dyDescent="0.25">
      <c r="A618" t="s">
        <v>302</v>
      </c>
      <c r="B618" t="s">
        <v>286</v>
      </c>
      <c r="C618" t="s">
        <v>287</v>
      </c>
      <c r="D618" s="47">
        <f>ROUNDUP((17025.45),0)</f>
        <v>17026</v>
      </c>
      <c r="E618" s="2"/>
      <c r="F618" s="37">
        <f t="shared" si="46"/>
        <v>0</v>
      </c>
      <c r="G618" s="2"/>
      <c r="H618" s="12">
        <f t="shared" si="47"/>
        <v>0</v>
      </c>
      <c r="I618" s="2"/>
      <c r="J618" s="12">
        <v>17026</v>
      </c>
      <c r="K618" s="2"/>
      <c r="M618" t="s">
        <v>461</v>
      </c>
    </row>
    <row r="619" spans="1:13" x14ac:dyDescent="0.25">
      <c r="A619" t="s">
        <v>302</v>
      </c>
      <c r="B619" t="s">
        <v>331</v>
      </c>
      <c r="C619" t="s">
        <v>332</v>
      </c>
      <c r="D619" s="47">
        <f>ROUNDUP((962.1),0)</f>
        <v>963</v>
      </c>
      <c r="E619" s="2"/>
      <c r="F619" s="37">
        <f t="shared" si="46"/>
        <v>-0.2660060975609756</v>
      </c>
      <c r="G619" s="2"/>
      <c r="H619" s="12">
        <f t="shared" si="47"/>
        <v>-349</v>
      </c>
      <c r="I619" s="2"/>
      <c r="J619" s="12">
        <v>1312</v>
      </c>
      <c r="K619" s="2"/>
      <c r="M619" t="s">
        <v>461</v>
      </c>
    </row>
    <row r="620" spans="1:13" x14ac:dyDescent="0.25">
      <c r="A620" t="s">
        <v>302</v>
      </c>
      <c r="B620" t="s">
        <v>333</v>
      </c>
      <c r="C620" t="s">
        <v>334</v>
      </c>
      <c r="D620" s="47">
        <f>ROUNDUP((2188.43),0)</f>
        <v>2189</v>
      </c>
      <c r="E620" s="2"/>
      <c r="F620" s="37">
        <f t="shared" si="46"/>
        <v>-0.14625585023400936</v>
      </c>
      <c r="G620" s="2"/>
      <c r="H620" s="12">
        <f t="shared" si="47"/>
        <v>-375</v>
      </c>
      <c r="I620" s="2"/>
      <c r="J620" s="12">
        <v>2564</v>
      </c>
      <c r="K620" s="2"/>
      <c r="M620" t="s">
        <v>461</v>
      </c>
    </row>
    <row r="621" spans="1:13" x14ac:dyDescent="0.25">
      <c r="A621" t="s">
        <v>302</v>
      </c>
      <c r="B621" t="s">
        <v>294</v>
      </c>
      <c r="C621" t="s">
        <v>295</v>
      </c>
      <c r="D621" s="47">
        <f>ROUNDUP((5306.55),0)</f>
        <v>5307</v>
      </c>
      <c r="E621" s="2"/>
      <c r="F621" s="37">
        <f t="shared" si="46"/>
        <v>0</v>
      </c>
      <c r="G621" s="2"/>
      <c r="H621" s="12">
        <f t="shared" si="47"/>
        <v>0</v>
      </c>
      <c r="I621" s="2"/>
      <c r="J621" s="12">
        <v>5307</v>
      </c>
      <c r="K621" s="2"/>
      <c r="M621" t="s">
        <v>461</v>
      </c>
    </row>
    <row r="622" spans="1:13" x14ac:dyDescent="0.25">
      <c r="D622" s="10"/>
      <c r="E622" s="2"/>
      <c r="F622" s="10"/>
      <c r="G622" s="2"/>
      <c r="H622" s="10"/>
      <c r="I622" s="2"/>
      <c r="J622" s="11"/>
      <c r="K622" s="2"/>
    </row>
    <row r="623" spans="1:13" x14ac:dyDescent="0.25">
      <c r="A623" t="s">
        <v>5</v>
      </c>
      <c r="B623" t="s">
        <v>5</v>
      </c>
      <c r="C623" s="1" t="s">
        <v>392</v>
      </c>
      <c r="D623" s="57">
        <f>SUM(D570:D621)</f>
        <v>1385356.3900000001</v>
      </c>
      <c r="E623" s="58"/>
      <c r="F623" s="59">
        <f>H623/J623</f>
        <v>1.841076900005293E-2</v>
      </c>
      <c r="G623" s="58"/>
      <c r="H623" s="57">
        <f>SUM(H570:H621)</f>
        <v>25044.39</v>
      </c>
      <c r="I623" s="58"/>
      <c r="J623" s="57">
        <f>SUM(J570:J621)</f>
        <v>1360312</v>
      </c>
      <c r="K623" s="2"/>
    </row>
  </sheetData>
  <pageMargins left="0.7" right="0.7" top="0.75" bottom="0.75" header="0.3" footer="0.3"/>
  <pageSetup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0"/>
  <sheetViews>
    <sheetView view="pageBreakPreview" topLeftCell="A576" zoomScale="60" zoomScaleNormal="100" workbookViewId="0">
      <selection activeCell="N611" sqref="N611"/>
    </sheetView>
  </sheetViews>
  <sheetFormatPr defaultRowHeight="15" x14ac:dyDescent="0.25"/>
  <cols>
    <col min="1" max="1" width="9.5703125" customWidth="1"/>
    <col min="2" max="2" width="8.42578125" customWidth="1"/>
    <col min="3" max="3" width="49.7109375" customWidth="1"/>
    <col min="4" max="4" width="21.140625" customWidth="1"/>
    <col min="5" max="5" width="3.42578125" customWidth="1"/>
    <col min="6" max="6" width="18" customWidth="1"/>
    <col min="7" max="7" width="3.42578125" customWidth="1"/>
    <col min="8" max="8" width="18" customWidth="1"/>
    <col min="9" max="9" width="3.42578125" customWidth="1"/>
    <col min="10" max="10" width="20" style="3" customWidth="1"/>
    <col min="11" max="11" width="3.42578125" customWidth="1"/>
    <col min="12" max="12" width="55.28515625" customWidth="1"/>
    <col min="13" max="14" width="15.28515625" bestFit="1" customWidth="1"/>
  </cols>
  <sheetData>
    <row r="1" spans="1:12" ht="15.75" thickBot="1" x14ac:dyDescent="0.3"/>
    <row r="2" spans="1:12" ht="45.75" thickBot="1" x14ac:dyDescent="0.3">
      <c r="D2" s="6" t="s">
        <v>338</v>
      </c>
      <c r="F2" s="38" t="s">
        <v>411</v>
      </c>
      <c r="H2" s="38" t="s">
        <v>411</v>
      </c>
      <c r="J2" s="7" t="s">
        <v>340</v>
      </c>
      <c r="L2" s="24" t="s">
        <v>368</v>
      </c>
    </row>
    <row r="3" spans="1:12" ht="120" x14ac:dyDescent="0.25">
      <c r="A3" s="1" t="s">
        <v>0</v>
      </c>
      <c r="B3" s="1" t="s">
        <v>1</v>
      </c>
      <c r="C3" s="1" t="s">
        <v>2</v>
      </c>
      <c r="D3" s="5" t="s">
        <v>337</v>
      </c>
      <c r="E3" s="1"/>
      <c r="F3" s="5" t="s">
        <v>409</v>
      </c>
      <c r="G3" s="1"/>
      <c r="H3" s="5" t="s">
        <v>410</v>
      </c>
      <c r="I3" s="1"/>
      <c r="J3" s="4" t="s">
        <v>335</v>
      </c>
      <c r="K3" s="1"/>
    </row>
    <row r="4" spans="1:12" x14ac:dyDescent="0.25">
      <c r="A4" t="s">
        <v>6</v>
      </c>
      <c r="B4" t="s">
        <v>7</v>
      </c>
      <c r="C4" t="s">
        <v>8</v>
      </c>
      <c r="D4" s="12">
        <f>ROUNDUP((19500.52),0)</f>
        <v>19501</v>
      </c>
      <c r="E4" s="2"/>
      <c r="F4" s="13">
        <f>H4/J4</f>
        <v>-3.588271478367849E-4</v>
      </c>
      <c r="G4" s="2"/>
      <c r="H4" s="12">
        <f t="shared" ref="H4:H12" si="0">D4-J4</f>
        <v>-7</v>
      </c>
      <c r="I4" s="2"/>
      <c r="J4" s="12">
        <v>19508</v>
      </c>
      <c r="K4" s="2"/>
    </row>
    <row r="5" spans="1:12" x14ac:dyDescent="0.25">
      <c r="A5" t="s">
        <v>6</v>
      </c>
      <c r="B5" t="s">
        <v>9</v>
      </c>
      <c r="C5" t="s">
        <v>10</v>
      </c>
      <c r="D5" s="12">
        <f>ROUNDUP((91.23),0)</f>
        <v>92</v>
      </c>
      <c r="E5" s="2"/>
      <c r="F5" s="13">
        <f>H5/J5</f>
        <v>0.61403508771929827</v>
      </c>
      <c r="G5" s="2"/>
      <c r="H5" s="12">
        <f t="shared" si="0"/>
        <v>35</v>
      </c>
      <c r="I5" s="2"/>
      <c r="J5" s="12">
        <v>57</v>
      </c>
      <c r="K5" s="2"/>
    </row>
    <row r="6" spans="1:12" x14ac:dyDescent="0.25">
      <c r="A6" t="s">
        <v>6</v>
      </c>
      <c r="B6" t="s">
        <v>11</v>
      </c>
      <c r="C6" t="s">
        <v>12</v>
      </c>
      <c r="D6" s="12">
        <f>ROUNDUP((1491.79),0)</f>
        <v>1492</v>
      </c>
      <c r="E6" s="2"/>
      <c r="F6" s="13">
        <f>H6/J6</f>
        <v>0</v>
      </c>
      <c r="G6" s="2"/>
      <c r="H6" s="12">
        <f t="shared" si="0"/>
        <v>0</v>
      </c>
      <c r="I6" s="2"/>
      <c r="J6" s="12">
        <v>1492</v>
      </c>
      <c r="K6" s="2"/>
    </row>
    <row r="7" spans="1:12" x14ac:dyDescent="0.25">
      <c r="A7" t="s">
        <v>6</v>
      </c>
      <c r="B7" t="s">
        <v>13</v>
      </c>
      <c r="C7" t="s">
        <v>14</v>
      </c>
      <c r="D7" s="12">
        <v>250</v>
      </c>
      <c r="E7" s="2"/>
      <c r="F7" s="13">
        <f>H7/J7</f>
        <v>-0.5</v>
      </c>
      <c r="G7" s="2"/>
      <c r="H7" s="12">
        <f t="shared" si="0"/>
        <v>-250</v>
      </c>
      <c r="I7" s="2"/>
      <c r="J7" s="12">
        <v>500</v>
      </c>
      <c r="K7" s="2"/>
    </row>
    <row r="8" spans="1:12" x14ac:dyDescent="0.25">
      <c r="A8" t="s">
        <v>6</v>
      </c>
      <c r="B8" t="s">
        <v>17</v>
      </c>
      <c r="C8" t="s">
        <v>18</v>
      </c>
      <c r="D8" s="12">
        <v>150</v>
      </c>
      <c r="E8" s="2"/>
      <c r="F8" s="13">
        <v>1</v>
      </c>
      <c r="G8" s="2"/>
      <c r="H8" s="12">
        <f t="shared" si="0"/>
        <v>150</v>
      </c>
      <c r="I8" s="2"/>
      <c r="J8" s="12">
        <v>0</v>
      </c>
      <c r="K8" s="2"/>
    </row>
    <row r="9" spans="1:12" x14ac:dyDescent="0.25">
      <c r="A9" t="s">
        <v>6</v>
      </c>
      <c r="B9" t="s">
        <v>19</v>
      </c>
      <c r="C9" t="s">
        <v>20</v>
      </c>
      <c r="D9" s="12">
        <v>50</v>
      </c>
      <c r="E9" s="2"/>
      <c r="F9" s="13">
        <f>H9/J9</f>
        <v>0</v>
      </c>
      <c r="G9" s="2"/>
      <c r="H9" s="12">
        <f t="shared" si="0"/>
        <v>0</v>
      </c>
      <c r="I9" s="2"/>
      <c r="J9" s="12">
        <v>50</v>
      </c>
      <c r="K9" s="2"/>
    </row>
    <row r="10" spans="1:12" x14ac:dyDescent="0.25">
      <c r="A10" t="s">
        <v>6</v>
      </c>
      <c r="B10" t="s">
        <v>21</v>
      </c>
      <c r="C10" t="s">
        <v>22</v>
      </c>
      <c r="D10" s="12">
        <v>0</v>
      </c>
      <c r="E10" s="2"/>
      <c r="F10" s="13">
        <f>H10/J10</f>
        <v>-1</v>
      </c>
      <c r="G10" s="2"/>
      <c r="H10" s="12">
        <f t="shared" si="0"/>
        <v>-800</v>
      </c>
      <c r="I10" s="2"/>
      <c r="J10" s="12">
        <v>800</v>
      </c>
      <c r="K10" s="2"/>
    </row>
    <row r="11" spans="1:12" x14ac:dyDescent="0.25">
      <c r="A11" t="s">
        <v>6</v>
      </c>
      <c r="B11" t="s">
        <v>23</v>
      </c>
      <c r="C11" t="s">
        <v>24</v>
      </c>
      <c r="D11" s="12">
        <v>500</v>
      </c>
      <c r="E11" s="2"/>
      <c r="F11" s="13">
        <f>H11/J11</f>
        <v>0</v>
      </c>
      <c r="G11" s="2"/>
      <c r="H11" s="12">
        <f t="shared" si="0"/>
        <v>0</v>
      </c>
      <c r="I11" s="2"/>
      <c r="J11" s="12">
        <v>500</v>
      </c>
      <c r="K11" s="2"/>
    </row>
    <row r="12" spans="1:12" x14ac:dyDescent="0.25">
      <c r="A12" t="s">
        <v>6</v>
      </c>
      <c r="B12" t="s">
        <v>25</v>
      </c>
      <c r="C12" t="s">
        <v>26</v>
      </c>
      <c r="D12" s="12">
        <f>5000+1200</f>
        <v>6200</v>
      </c>
      <c r="E12" s="2"/>
      <c r="F12" s="13">
        <f>H12/J12</f>
        <v>0.24</v>
      </c>
      <c r="G12" s="2"/>
      <c r="H12" s="12">
        <f t="shared" si="0"/>
        <v>1200</v>
      </c>
      <c r="I12" s="2"/>
      <c r="J12" s="9">
        <v>5000</v>
      </c>
      <c r="K12" s="2"/>
      <c r="L12" t="s">
        <v>444</v>
      </c>
    </row>
    <row r="13" spans="1:12" x14ac:dyDescent="0.25">
      <c r="D13" s="2"/>
      <c r="E13" s="2"/>
      <c r="F13" s="2"/>
      <c r="G13" s="2"/>
      <c r="H13" s="2"/>
      <c r="I13" s="2"/>
      <c r="K13" s="2"/>
    </row>
    <row r="14" spans="1:12" x14ac:dyDescent="0.25">
      <c r="A14" t="s">
        <v>5</v>
      </c>
      <c r="B14" t="s">
        <v>5</v>
      </c>
      <c r="C14" s="1" t="s">
        <v>341</v>
      </c>
      <c r="D14" s="8">
        <f>SUM(D4:D12)</f>
        <v>28235</v>
      </c>
      <c r="E14" s="2"/>
      <c r="F14" s="15">
        <f>H14/J14</f>
        <v>1.1753323538897052E-2</v>
      </c>
      <c r="G14" s="2"/>
      <c r="H14" s="8">
        <f>SUM(H4:H12)</f>
        <v>328</v>
      </c>
      <c r="I14" s="2"/>
      <c r="J14" s="8">
        <f>SUM(J4:J12)</f>
        <v>27907</v>
      </c>
      <c r="K14" s="2"/>
    </row>
    <row r="15" spans="1:12" x14ac:dyDescent="0.25">
      <c r="D15" s="2"/>
      <c r="E15" s="2"/>
      <c r="F15" s="2"/>
      <c r="G15" s="2"/>
      <c r="H15" s="2"/>
      <c r="I15" s="2"/>
      <c r="K15" s="2"/>
    </row>
    <row r="16" spans="1:12" x14ac:dyDescent="0.25">
      <c r="A16" t="s">
        <v>27</v>
      </c>
      <c r="B16" t="s">
        <v>28</v>
      </c>
      <c r="C16" t="s">
        <v>29</v>
      </c>
      <c r="D16" s="12">
        <v>113300</v>
      </c>
      <c r="E16" s="2"/>
      <c r="F16" s="13">
        <f t="shared" ref="F16:F30" si="1">H16/J16</f>
        <v>1.8701672361086136E-2</v>
      </c>
      <c r="G16" s="2"/>
      <c r="H16" s="12">
        <f t="shared" ref="H16:H32" si="2">D16-J16</f>
        <v>2080</v>
      </c>
      <c r="I16" s="2"/>
      <c r="J16" s="9">
        <v>111220</v>
      </c>
      <c r="K16" s="2"/>
      <c r="L16" t="s">
        <v>355</v>
      </c>
    </row>
    <row r="17" spans="1:12" x14ac:dyDescent="0.25">
      <c r="A17" t="s">
        <v>27</v>
      </c>
      <c r="B17" t="s">
        <v>30</v>
      </c>
      <c r="C17" t="s">
        <v>31</v>
      </c>
      <c r="D17" s="12">
        <f>ROUNDUP((177841.52),0)</f>
        <v>177842</v>
      </c>
      <c r="E17" s="2"/>
      <c r="F17" s="13">
        <f t="shared" si="1"/>
        <v>7.1305081172253842E-2</v>
      </c>
      <c r="G17" s="2"/>
      <c r="H17" s="12">
        <f t="shared" si="2"/>
        <v>11837</v>
      </c>
      <c r="I17" s="2"/>
      <c r="J17" s="9">
        <v>166005</v>
      </c>
      <c r="K17" s="2"/>
      <c r="L17" t="s">
        <v>358</v>
      </c>
    </row>
    <row r="18" spans="1:12" x14ac:dyDescent="0.25">
      <c r="A18" t="s">
        <v>27</v>
      </c>
      <c r="B18" t="s">
        <v>32</v>
      </c>
      <c r="C18" t="s">
        <v>33</v>
      </c>
      <c r="D18" s="12">
        <f>ROUNDUP((48734.4),0)</f>
        <v>48735</v>
      </c>
      <c r="E18" s="2"/>
      <c r="F18" s="13">
        <f t="shared" si="1"/>
        <v>6.5013111888111888E-2</v>
      </c>
      <c r="G18" s="2"/>
      <c r="H18" s="12">
        <f t="shared" si="2"/>
        <v>2975</v>
      </c>
      <c r="I18" s="2"/>
      <c r="J18" s="9">
        <v>45760</v>
      </c>
      <c r="K18" s="2"/>
      <c r="L18" t="s">
        <v>355</v>
      </c>
    </row>
    <row r="19" spans="1:12" x14ac:dyDescent="0.25">
      <c r="A19" t="s">
        <v>27</v>
      </c>
      <c r="B19" t="s">
        <v>34</v>
      </c>
      <c r="C19" t="s">
        <v>35</v>
      </c>
      <c r="D19" s="12">
        <f>ROUNDUP((235.2),0)</f>
        <v>236</v>
      </c>
      <c r="E19" s="2"/>
      <c r="F19" s="13">
        <f t="shared" si="1"/>
        <v>-0.20805369127516779</v>
      </c>
      <c r="G19" s="2"/>
      <c r="H19" s="12">
        <f t="shared" si="2"/>
        <v>-62</v>
      </c>
      <c r="I19" s="2"/>
      <c r="J19" s="9">
        <v>298</v>
      </c>
      <c r="K19" s="2"/>
    </row>
    <row r="20" spans="1:12" x14ac:dyDescent="0.25">
      <c r="A20" t="s">
        <v>27</v>
      </c>
      <c r="B20" t="s">
        <v>9</v>
      </c>
      <c r="C20" t="s">
        <v>10</v>
      </c>
      <c r="D20" s="12">
        <f>ROUNDUP((4849.82),0)</f>
        <v>4850</v>
      </c>
      <c r="E20" s="2"/>
      <c r="F20" s="13">
        <f t="shared" si="1"/>
        <v>0.37315968289920726</v>
      </c>
      <c r="G20" s="2"/>
      <c r="H20" s="12">
        <f t="shared" si="2"/>
        <v>1318</v>
      </c>
      <c r="I20" s="2"/>
      <c r="J20" s="9">
        <v>3532</v>
      </c>
      <c r="K20" s="2"/>
    </row>
    <row r="21" spans="1:12" x14ac:dyDescent="0.25">
      <c r="A21" t="s">
        <v>27</v>
      </c>
      <c r="B21" t="s">
        <v>36</v>
      </c>
      <c r="C21" t="s">
        <v>37</v>
      </c>
      <c r="D21" s="12">
        <f>ROUNDUP((34667.34),0)</f>
        <v>34668</v>
      </c>
      <c r="E21" s="2"/>
      <c r="F21" s="13">
        <f t="shared" si="1"/>
        <v>5.2331228751821272E-2</v>
      </c>
      <c r="G21" s="2"/>
      <c r="H21" s="12">
        <f t="shared" si="2"/>
        <v>1724</v>
      </c>
      <c r="I21" s="2"/>
      <c r="J21" s="9">
        <v>32944</v>
      </c>
      <c r="K21" s="2"/>
    </row>
    <row r="22" spans="1:12" x14ac:dyDescent="0.25">
      <c r="A22" t="s">
        <v>27</v>
      </c>
      <c r="B22" t="s">
        <v>38</v>
      </c>
      <c r="C22" t="s">
        <v>39</v>
      </c>
      <c r="D22" s="12">
        <f>ROUNDUP((30774.57),0)</f>
        <v>30775</v>
      </c>
      <c r="E22" s="2"/>
      <c r="F22" s="13">
        <f t="shared" si="1"/>
        <v>-0.51853879849812268</v>
      </c>
      <c r="G22" s="2"/>
      <c r="H22" s="12">
        <f t="shared" si="2"/>
        <v>-33145</v>
      </c>
      <c r="I22" s="2"/>
      <c r="J22" s="9">
        <v>63920</v>
      </c>
      <c r="K22" s="2"/>
    </row>
    <row r="23" spans="1:12" x14ac:dyDescent="0.25">
      <c r="A23" t="s">
        <v>27</v>
      </c>
      <c r="B23" t="s">
        <v>11</v>
      </c>
      <c r="C23" t="s">
        <v>12</v>
      </c>
      <c r="D23" s="12">
        <f>ROUNDUP((26000.51),0)</f>
        <v>26001</v>
      </c>
      <c r="E23" s="2"/>
      <c r="F23" s="13">
        <f t="shared" si="1"/>
        <v>5.2331228751821272E-2</v>
      </c>
      <c r="G23" s="2"/>
      <c r="H23" s="12">
        <f t="shared" si="2"/>
        <v>1293</v>
      </c>
      <c r="I23" s="2"/>
      <c r="J23" s="9">
        <v>24708</v>
      </c>
      <c r="K23" s="2"/>
    </row>
    <row r="24" spans="1:12" x14ac:dyDescent="0.25">
      <c r="A24" t="s">
        <v>27</v>
      </c>
      <c r="B24" t="s">
        <v>13</v>
      </c>
      <c r="C24" t="s">
        <v>14</v>
      </c>
      <c r="D24" s="12">
        <v>2000</v>
      </c>
      <c r="E24" s="2"/>
      <c r="F24" s="13">
        <f t="shared" si="1"/>
        <v>0</v>
      </c>
      <c r="G24" s="2"/>
      <c r="H24" s="12">
        <f t="shared" si="2"/>
        <v>0</v>
      </c>
      <c r="I24" s="2"/>
      <c r="J24" s="9">
        <v>2000</v>
      </c>
      <c r="K24" s="2"/>
    </row>
    <row r="25" spans="1:12" x14ac:dyDescent="0.25">
      <c r="A25" t="s">
        <v>27</v>
      </c>
      <c r="B25" t="s">
        <v>19</v>
      </c>
      <c r="C25" t="s">
        <v>20</v>
      </c>
      <c r="D25" s="12">
        <v>75</v>
      </c>
      <c r="E25" s="2"/>
      <c r="F25" s="13">
        <f t="shared" si="1"/>
        <v>-0.75</v>
      </c>
      <c r="G25" s="2"/>
      <c r="H25" s="12">
        <f t="shared" si="2"/>
        <v>-225</v>
      </c>
      <c r="I25" s="2"/>
      <c r="J25" s="9">
        <v>300</v>
      </c>
      <c r="K25" s="2"/>
    </row>
    <row r="26" spans="1:12" x14ac:dyDescent="0.25">
      <c r="A26" t="s">
        <v>27</v>
      </c>
      <c r="B26" t="s">
        <v>21</v>
      </c>
      <c r="C26" t="s">
        <v>22</v>
      </c>
      <c r="D26" s="12">
        <v>1000</v>
      </c>
      <c r="E26" s="2"/>
      <c r="F26" s="13">
        <f t="shared" si="1"/>
        <v>0</v>
      </c>
      <c r="G26" s="2"/>
      <c r="H26" s="12">
        <f t="shared" si="2"/>
        <v>0</v>
      </c>
      <c r="I26" s="2"/>
      <c r="J26" s="9">
        <v>1000</v>
      </c>
      <c r="K26" s="2"/>
    </row>
    <row r="27" spans="1:12" x14ac:dyDescent="0.25">
      <c r="A27" t="s">
        <v>27</v>
      </c>
      <c r="B27" t="s">
        <v>40</v>
      </c>
      <c r="C27" t="s">
        <v>41</v>
      </c>
      <c r="D27" s="12">
        <v>1260</v>
      </c>
      <c r="E27" s="2"/>
      <c r="F27" s="13">
        <f t="shared" si="1"/>
        <v>0</v>
      </c>
      <c r="G27" s="2"/>
      <c r="H27" s="12">
        <f t="shared" si="2"/>
        <v>0</v>
      </c>
      <c r="I27" s="2"/>
      <c r="J27" s="9">
        <v>1260</v>
      </c>
      <c r="K27" s="2"/>
    </row>
    <row r="28" spans="1:12" x14ac:dyDescent="0.25">
      <c r="A28" t="s">
        <v>27</v>
      </c>
      <c r="B28" t="s">
        <v>23</v>
      </c>
      <c r="C28" t="s">
        <v>24</v>
      </c>
      <c r="D28" s="12">
        <v>7000</v>
      </c>
      <c r="E28" s="2"/>
      <c r="F28" s="13">
        <f t="shared" si="1"/>
        <v>0.75</v>
      </c>
      <c r="G28" s="2"/>
      <c r="H28" s="12">
        <f t="shared" si="2"/>
        <v>3000</v>
      </c>
      <c r="I28" s="2"/>
      <c r="J28" s="9">
        <v>4000</v>
      </c>
      <c r="K28" s="2"/>
    </row>
    <row r="29" spans="1:12" x14ac:dyDescent="0.25">
      <c r="A29" t="s">
        <v>27</v>
      </c>
      <c r="B29" t="s">
        <v>42</v>
      </c>
      <c r="C29" t="s">
        <v>43</v>
      </c>
      <c r="D29" s="12">
        <v>2000</v>
      </c>
      <c r="E29" s="2"/>
      <c r="F29" s="13">
        <f t="shared" si="1"/>
        <v>19</v>
      </c>
      <c r="G29" s="2"/>
      <c r="H29" s="12">
        <f t="shared" si="2"/>
        <v>1900</v>
      </c>
      <c r="I29" s="2"/>
      <c r="J29" s="9">
        <v>100</v>
      </c>
      <c r="K29" s="2"/>
    </row>
    <row r="30" spans="1:12" x14ac:dyDescent="0.25">
      <c r="A30" t="s">
        <v>27</v>
      </c>
      <c r="B30" t="s">
        <v>44</v>
      </c>
      <c r="C30" t="s">
        <v>45</v>
      </c>
      <c r="D30" s="12">
        <v>6020</v>
      </c>
      <c r="E30" s="2"/>
      <c r="F30" s="13">
        <f t="shared" si="1"/>
        <v>1.0758620689655172</v>
      </c>
      <c r="G30" s="2"/>
      <c r="H30" s="12">
        <f t="shared" si="2"/>
        <v>3120</v>
      </c>
      <c r="I30" s="2"/>
      <c r="J30" s="9">
        <v>2900</v>
      </c>
      <c r="K30" s="2"/>
    </row>
    <row r="31" spans="1:12" x14ac:dyDescent="0.25">
      <c r="A31" s="20" t="s">
        <v>27</v>
      </c>
      <c r="B31" s="20" t="s">
        <v>51</v>
      </c>
      <c r="C31" t="s">
        <v>421</v>
      </c>
      <c r="D31" s="12">
        <v>5000</v>
      </c>
      <c r="E31" s="2"/>
      <c r="F31" s="13">
        <v>1</v>
      </c>
      <c r="G31" s="2"/>
      <c r="H31" s="12">
        <f t="shared" si="2"/>
        <v>5000</v>
      </c>
      <c r="I31" s="2"/>
      <c r="J31" s="9">
        <v>0</v>
      </c>
      <c r="K31" s="2"/>
      <c r="L31" t="s">
        <v>422</v>
      </c>
    </row>
    <row r="32" spans="1:12" x14ac:dyDescent="0.25">
      <c r="A32" t="s">
        <v>27</v>
      </c>
      <c r="B32" t="s">
        <v>46</v>
      </c>
      <c r="C32" t="s">
        <v>47</v>
      </c>
      <c r="D32" s="12">
        <v>12934</v>
      </c>
      <c r="E32" s="2"/>
      <c r="F32" s="13">
        <f>H32/J32</f>
        <v>0.30199315482182404</v>
      </c>
      <c r="G32" s="2"/>
      <c r="H32" s="12">
        <f t="shared" si="2"/>
        <v>3000</v>
      </c>
      <c r="I32" s="2"/>
      <c r="J32" s="9">
        <v>9934</v>
      </c>
      <c r="K32" s="2"/>
    </row>
    <row r="33" spans="1:11" x14ac:dyDescent="0.25">
      <c r="D33" s="10"/>
      <c r="E33" s="2"/>
      <c r="F33" s="10"/>
      <c r="G33" s="2"/>
      <c r="H33" s="10"/>
      <c r="I33" s="2"/>
      <c r="J33" s="11"/>
      <c r="K33" s="2"/>
    </row>
    <row r="34" spans="1:11" x14ac:dyDescent="0.25">
      <c r="A34" t="s">
        <v>5</v>
      </c>
      <c r="B34" t="s">
        <v>5</v>
      </c>
      <c r="C34" s="1" t="s">
        <v>345</v>
      </c>
      <c r="D34" s="8">
        <f>SUM(D16:D32)</f>
        <v>473696</v>
      </c>
      <c r="E34" s="2"/>
      <c r="F34" s="15">
        <f>H34/J34</f>
        <v>8.1190769577829287E-3</v>
      </c>
      <c r="G34" s="2"/>
      <c r="H34" s="8">
        <f>SUM(H16:H33)</f>
        <v>3815</v>
      </c>
      <c r="I34" s="2"/>
      <c r="J34" s="8">
        <f>SUM(J16:J32)</f>
        <v>469881</v>
      </c>
      <c r="K34" s="2"/>
    </row>
    <row r="35" spans="1:11" x14ac:dyDescent="0.25">
      <c r="D35" s="2"/>
      <c r="E35" s="2"/>
      <c r="F35" s="2"/>
      <c r="G35" s="2"/>
      <c r="H35" s="2"/>
      <c r="I35" s="2"/>
      <c r="K35" s="2"/>
    </row>
    <row r="36" spans="1:11" ht="120" x14ac:dyDescent="0.25">
      <c r="A36" s="1" t="s">
        <v>0</v>
      </c>
      <c r="B36" s="1" t="s">
        <v>1</v>
      </c>
      <c r="C36" s="1" t="s">
        <v>2</v>
      </c>
      <c r="D36" s="5" t="s">
        <v>337</v>
      </c>
      <c r="E36" s="1"/>
      <c r="F36" s="5" t="s">
        <v>409</v>
      </c>
      <c r="G36" s="1"/>
      <c r="H36" s="5" t="s">
        <v>410</v>
      </c>
      <c r="I36" s="1"/>
      <c r="J36" s="4" t="s">
        <v>335</v>
      </c>
      <c r="K36" s="1"/>
    </row>
    <row r="37" spans="1:11" x14ac:dyDescent="0.25">
      <c r="A37" t="s">
        <v>48</v>
      </c>
      <c r="B37" t="s">
        <v>7</v>
      </c>
      <c r="C37" t="s">
        <v>49</v>
      </c>
      <c r="D37" s="12">
        <f>ROUNDUP((787.8),0)</f>
        <v>788</v>
      </c>
      <c r="E37" s="2"/>
      <c r="F37" s="13">
        <f t="shared" ref="F37:F43" si="3">H37/J37</f>
        <v>-1.2674271229404308E-3</v>
      </c>
      <c r="G37" s="2"/>
      <c r="H37" s="12">
        <f t="shared" ref="H37:H43" si="4">D37-J37</f>
        <v>-1</v>
      </c>
      <c r="I37" s="2"/>
      <c r="J37" s="12">
        <v>789</v>
      </c>
      <c r="K37" s="2"/>
    </row>
    <row r="38" spans="1:11" x14ac:dyDescent="0.25">
      <c r="A38" t="s">
        <v>48</v>
      </c>
      <c r="B38" t="s">
        <v>9</v>
      </c>
      <c r="C38" t="s">
        <v>10</v>
      </c>
      <c r="D38" s="12">
        <f>ROUNDUP((3.69),0)</f>
        <v>4</v>
      </c>
      <c r="E38" s="2"/>
      <c r="F38" s="13">
        <f t="shared" si="3"/>
        <v>3</v>
      </c>
      <c r="G38" s="2"/>
      <c r="H38" s="12">
        <f t="shared" si="4"/>
        <v>3</v>
      </c>
      <c r="I38" s="2"/>
      <c r="J38" s="12">
        <v>1</v>
      </c>
      <c r="K38" s="2"/>
    </row>
    <row r="39" spans="1:11" x14ac:dyDescent="0.25">
      <c r="A39" t="s">
        <v>48</v>
      </c>
      <c r="B39" t="s">
        <v>11</v>
      </c>
      <c r="C39" t="s">
        <v>12</v>
      </c>
      <c r="D39" s="12">
        <f>ROUNDUP((60.27),0)</f>
        <v>61</v>
      </c>
      <c r="E39" s="2"/>
      <c r="F39" s="13">
        <f t="shared" si="3"/>
        <v>1.6666666666666666E-2</v>
      </c>
      <c r="G39" s="2"/>
      <c r="H39" s="12">
        <f t="shared" si="4"/>
        <v>1</v>
      </c>
      <c r="I39" s="2"/>
      <c r="J39" s="12">
        <v>60</v>
      </c>
      <c r="K39" s="2"/>
    </row>
    <row r="40" spans="1:11" x14ac:dyDescent="0.25">
      <c r="A40" t="s">
        <v>48</v>
      </c>
      <c r="B40" t="s">
        <v>13</v>
      </c>
      <c r="C40" t="s">
        <v>14</v>
      </c>
      <c r="D40" s="12">
        <v>50</v>
      </c>
      <c r="E40" s="2"/>
      <c r="F40" s="13">
        <f t="shared" si="3"/>
        <v>0</v>
      </c>
      <c r="G40" s="2"/>
      <c r="H40" s="12">
        <f t="shared" si="4"/>
        <v>0</v>
      </c>
      <c r="I40" s="2"/>
      <c r="J40" s="12">
        <v>50</v>
      </c>
      <c r="K40" s="2"/>
    </row>
    <row r="41" spans="1:11" x14ac:dyDescent="0.25">
      <c r="A41" t="s">
        <v>48</v>
      </c>
      <c r="B41" t="s">
        <v>19</v>
      </c>
      <c r="C41" t="s">
        <v>20</v>
      </c>
      <c r="D41" s="12">
        <v>50</v>
      </c>
      <c r="E41" s="2"/>
      <c r="F41" s="13">
        <f t="shared" si="3"/>
        <v>0</v>
      </c>
      <c r="G41" s="2"/>
      <c r="H41" s="12">
        <f t="shared" si="4"/>
        <v>0</v>
      </c>
      <c r="I41" s="2"/>
      <c r="J41" s="12">
        <v>50</v>
      </c>
      <c r="K41" s="2"/>
    </row>
    <row r="42" spans="1:11" x14ac:dyDescent="0.25">
      <c r="A42" t="s">
        <v>48</v>
      </c>
      <c r="B42" t="s">
        <v>21</v>
      </c>
      <c r="C42" t="s">
        <v>22</v>
      </c>
      <c r="D42" s="12">
        <v>250</v>
      </c>
      <c r="E42" s="2"/>
      <c r="F42" s="13">
        <f t="shared" si="3"/>
        <v>0</v>
      </c>
      <c r="G42" s="2"/>
      <c r="H42" s="12">
        <f t="shared" si="4"/>
        <v>0</v>
      </c>
      <c r="I42" s="2"/>
      <c r="J42" s="12">
        <v>250</v>
      </c>
      <c r="K42" s="2"/>
    </row>
    <row r="43" spans="1:11" x14ac:dyDescent="0.25">
      <c r="A43" t="s">
        <v>48</v>
      </c>
      <c r="B43" t="s">
        <v>23</v>
      </c>
      <c r="C43" t="s">
        <v>24</v>
      </c>
      <c r="D43" s="12">
        <v>140</v>
      </c>
      <c r="E43" s="2"/>
      <c r="F43" s="13">
        <f t="shared" si="3"/>
        <v>0</v>
      </c>
      <c r="G43" s="2"/>
      <c r="H43" s="12">
        <f t="shared" si="4"/>
        <v>0</v>
      </c>
      <c r="I43" s="2"/>
      <c r="J43" s="12">
        <v>140</v>
      </c>
      <c r="K43" s="2"/>
    </row>
    <row r="44" spans="1:11" x14ac:dyDescent="0.25">
      <c r="D44" s="2"/>
      <c r="E44" s="2"/>
      <c r="F44" s="2"/>
      <c r="G44" s="2"/>
      <c r="H44" s="2"/>
      <c r="I44" s="2"/>
      <c r="K44" s="2"/>
    </row>
    <row r="45" spans="1:11" x14ac:dyDescent="0.25">
      <c r="A45" t="s">
        <v>5</v>
      </c>
      <c r="B45" t="s">
        <v>5</v>
      </c>
      <c r="C45" s="1" t="s">
        <v>346</v>
      </c>
      <c r="D45" s="8">
        <f>SUM(D37:D43)</f>
        <v>1343</v>
      </c>
      <c r="E45" s="2"/>
      <c r="F45" s="15">
        <f>H45/J45</f>
        <v>2.2388059701492539E-3</v>
      </c>
      <c r="G45" s="2"/>
      <c r="H45" s="8">
        <f>SUM(H37:H43)</f>
        <v>3</v>
      </c>
      <c r="I45" s="2"/>
      <c r="J45" s="8">
        <f>SUM(J37:J43)</f>
        <v>1340</v>
      </c>
      <c r="K45" s="2"/>
    </row>
    <row r="46" spans="1:11" x14ac:dyDescent="0.25">
      <c r="D46" s="2"/>
      <c r="E46" s="2"/>
      <c r="F46" s="2"/>
      <c r="G46" s="2"/>
      <c r="H46" s="2"/>
      <c r="I46" s="2"/>
      <c r="K46" s="2"/>
    </row>
    <row r="47" spans="1:11" x14ac:dyDescent="0.25">
      <c r="A47" t="s">
        <v>50</v>
      </c>
      <c r="B47" t="s">
        <v>7</v>
      </c>
      <c r="C47" t="s">
        <v>49</v>
      </c>
      <c r="D47" s="12">
        <f>ROUNDUP((5249.52),0)</f>
        <v>5250</v>
      </c>
      <c r="E47" s="2"/>
      <c r="F47" s="13">
        <f t="shared" ref="F47:F54" si="5">H47/J47</f>
        <v>0</v>
      </c>
      <c r="G47" s="2"/>
      <c r="H47" s="12">
        <f t="shared" ref="H47:H54" si="6">D47-J47</f>
        <v>0</v>
      </c>
      <c r="I47" s="2"/>
      <c r="J47" s="12">
        <v>5250</v>
      </c>
      <c r="K47" s="2"/>
    </row>
    <row r="48" spans="1:11" x14ac:dyDescent="0.25">
      <c r="A48" t="s">
        <v>50</v>
      </c>
      <c r="B48" t="s">
        <v>9</v>
      </c>
      <c r="C48" t="s">
        <v>10</v>
      </c>
      <c r="D48" s="12">
        <f>ROUNDUP((24.56),0)</f>
        <v>25</v>
      </c>
      <c r="E48" s="2"/>
      <c r="F48" s="13">
        <f t="shared" si="5"/>
        <v>0.7857142857142857</v>
      </c>
      <c r="G48" s="2"/>
      <c r="H48" s="12">
        <f t="shared" si="6"/>
        <v>11</v>
      </c>
      <c r="I48" s="2"/>
      <c r="J48" s="12">
        <v>14</v>
      </c>
      <c r="K48" s="2"/>
    </row>
    <row r="49" spans="1:12" x14ac:dyDescent="0.25">
      <c r="A49" t="s">
        <v>50</v>
      </c>
      <c r="B49" t="s">
        <v>11</v>
      </c>
      <c r="C49" t="s">
        <v>12</v>
      </c>
      <c r="D49" s="12">
        <f>ROUNDUP((401.59),0)</f>
        <v>402</v>
      </c>
      <c r="E49" s="2"/>
      <c r="F49" s="13">
        <f t="shared" si="5"/>
        <v>0</v>
      </c>
      <c r="G49" s="2"/>
      <c r="H49" s="12">
        <f t="shared" si="6"/>
        <v>0</v>
      </c>
      <c r="I49" s="2"/>
      <c r="J49" s="12">
        <v>402</v>
      </c>
      <c r="K49" s="2"/>
    </row>
    <row r="50" spans="1:12" x14ac:dyDescent="0.25">
      <c r="A50" t="s">
        <v>50</v>
      </c>
      <c r="B50" t="s">
        <v>13</v>
      </c>
      <c r="C50" t="s">
        <v>14</v>
      </c>
      <c r="D50" s="12">
        <v>250</v>
      </c>
      <c r="E50" s="2"/>
      <c r="F50" s="13">
        <f t="shared" si="5"/>
        <v>0</v>
      </c>
      <c r="G50" s="2"/>
      <c r="H50" s="12">
        <f t="shared" si="6"/>
        <v>0</v>
      </c>
      <c r="I50" s="2"/>
      <c r="J50" s="12">
        <v>250</v>
      </c>
      <c r="K50" s="2"/>
    </row>
    <row r="51" spans="1:12" x14ac:dyDescent="0.25">
      <c r="A51" t="s">
        <v>50</v>
      </c>
      <c r="B51" t="s">
        <v>19</v>
      </c>
      <c r="C51" t="s">
        <v>20</v>
      </c>
      <c r="D51" s="12">
        <v>200</v>
      </c>
      <c r="E51" s="2"/>
      <c r="F51" s="13">
        <f t="shared" si="5"/>
        <v>0.33333333333333331</v>
      </c>
      <c r="G51" s="2"/>
      <c r="H51" s="12">
        <f t="shared" si="6"/>
        <v>50</v>
      </c>
      <c r="I51" s="2"/>
      <c r="J51" s="12">
        <v>150</v>
      </c>
      <c r="K51" s="2"/>
    </row>
    <row r="52" spans="1:12" x14ac:dyDescent="0.25">
      <c r="A52" t="s">
        <v>50</v>
      </c>
      <c r="B52" t="s">
        <v>21</v>
      </c>
      <c r="C52" t="s">
        <v>22</v>
      </c>
      <c r="D52" s="12">
        <v>1000</v>
      </c>
      <c r="E52" s="2"/>
      <c r="F52" s="13">
        <f t="shared" si="5"/>
        <v>0.33333333333333331</v>
      </c>
      <c r="G52" s="2"/>
      <c r="H52" s="12">
        <f t="shared" si="6"/>
        <v>250</v>
      </c>
      <c r="I52" s="2"/>
      <c r="J52" s="12">
        <v>750</v>
      </c>
      <c r="K52" s="2"/>
    </row>
    <row r="53" spans="1:12" x14ac:dyDescent="0.25">
      <c r="A53" t="s">
        <v>50</v>
      </c>
      <c r="B53" t="s">
        <v>23</v>
      </c>
      <c r="C53" t="s">
        <v>24</v>
      </c>
      <c r="D53" s="12">
        <v>400</v>
      </c>
      <c r="E53" s="2"/>
      <c r="F53" s="13">
        <f t="shared" si="5"/>
        <v>0</v>
      </c>
      <c r="G53" s="2"/>
      <c r="H53" s="12">
        <f t="shared" si="6"/>
        <v>0</v>
      </c>
      <c r="I53" s="2"/>
      <c r="J53" s="12">
        <v>400</v>
      </c>
      <c r="K53" s="2"/>
    </row>
    <row r="54" spans="1:12" x14ac:dyDescent="0.25">
      <c r="A54" t="s">
        <v>50</v>
      </c>
      <c r="B54" t="s">
        <v>51</v>
      </c>
      <c r="C54" t="s">
        <v>52</v>
      </c>
      <c r="D54" s="12">
        <v>25000</v>
      </c>
      <c r="E54" s="2"/>
      <c r="F54" s="13">
        <f t="shared" si="5"/>
        <v>0</v>
      </c>
      <c r="G54" s="2"/>
      <c r="H54" s="12">
        <f t="shared" si="6"/>
        <v>0</v>
      </c>
      <c r="I54" s="2"/>
      <c r="J54" s="12">
        <f>15000+10000</f>
        <v>25000</v>
      </c>
      <c r="K54" s="2"/>
    </row>
    <row r="55" spans="1:12" x14ac:dyDescent="0.25">
      <c r="D55" s="2"/>
      <c r="E55" s="2"/>
      <c r="F55" s="2"/>
      <c r="G55" s="2"/>
      <c r="H55" s="2"/>
      <c r="I55" s="2"/>
      <c r="K55" s="2"/>
    </row>
    <row r="56" spans="1:12" x14ac:dyDescent="0.25">
      <c r="A56" t="s">
        <v>5</v>
      </c>
      <c r="B56" t="s">
        <v>5</v>
      </c>
      <c r="C56" s="1" t="s">
        <v>347</v>
      </c>
      <c r="D56" s="8">
        <f>SUM(D47:D54)</f>
        <v>32527</v>
      </c>
      <c r="E56" s="2"/>
      <c r="F56" s="15">
        <f>H56/J56</f>
        <v>9.6535882791159676E-3</v>
      </c>
      <c r="G56" s="2"/>
      <c r="H56" s="8">
        <f>SUM(H47:H54)</f>
        <v>311</v>
      </c>
      <c r="I56" s="2"/>
      <c r="J56" s="8">
        <f>SUM(J47:J54)</f>
        <v>32216</v>
      </c>
      <c r="K56" s="2"/>
    </row>
    <row r="57" spans="1:12" x14ac:dyDescent="0.25">
      <c r="D57" s="2"/>
      <c r="E57" s="2"/>
      <c r="F57" s="2"/>
      <c r="G57" s="2"/>
      <c r="H57" s="2"/>
      <c r="I57" s="2"/>
      <c r="K57" s="2"/>
    </row>
    <row r="58" spans="1:12" x14ac:dyDescent="0.25">
      <c r="A58" t="s">
        <v>53</v>
      </c>
      <c r="B58" t="s">
        <v>54</v>
      </c>
      <c r="C58" t="s">
        <v>55</v>
      </c>
      <c r="D58" s="12">
        <v>70000</v>
      </c>
      <c r="E58" s="2"/>
      <c r="F58" s="37">
        <f>H58/J58</f>
        <v>0</v>
      </c>
      <c r="G58" s="2"/>
      <c r="H58" s="12">
        <f>D58-J58</f>
        <v>0</v>
      </c>
      <c r="I58" s="2"/>
      <c r="J58" s="12">
        <v>70000</v>
      </c>
      <c r="K58" s="2"/>
    </row>
    <row r="59" spans="1:12" x14ac:dyDescent="0.25">
      <c r="D59" s="2"/>
      <c r="E59" s="2"/>
      <c r="F59" s="2"/>
      <c r="G59" s="2"/>
      <c r="H59" s="2"/>
      <c r="I59" s="2"/>
      <c r="K59" s="2"/>
    </row>
    <row r="60" spans="1:12" x14ac:dyDescent="0.25">
      <c r="A60" t="s">
        <v>5</v>
      </c>
      <c r="B60" t="s">
        <v>5</v>
      </c>
      <c r="C60" s="1" t="s">
        <v>348</v>
      </c>
      <c r="D60" s="8">
        <f>SUM(D58)</f>
        <v>70000</v>
      </c>
      <c r="E60" s="2"/>
      <c r="F60" s="15">
        <f>H60/J60</f>
        <v>0</v>
      </c>
      <c r="G60" s="2"/>
      <c r="H60" s="8">
        <f>H58</f>
        <v>0</v>
      </c>
      <c r="I60" s="2"/>
      <c r="J60" s="8">
        <f>J58</f>
        <v>70000</v>
      </c>
      <c r="K60" s="2"/>
    </row>
    <row r="61" spans="1:12" x14ac:dyDescent="0.25">
      <c r="D61" s="2"/>
      <c r="E61" s="2"/>
      <c r="F61" s="2"/>
      <c r="G61" s="2"/>
      <c r="H61" s="2"/>
      <c r="I61" s="2"/>
      <c r="K61" s="2"/>
    </row>
    <row r="62" spans="1:12" x14ac:dyDescent="0.25">
      <c r="A62" t="s">
        <v>56</v>
      </c>
      <c r="B62" t="s">
        <v>57</v>
      </c>
      <c r="C62" t="s">
        <v>58</v>
      </c>
      <c r="D62" s="12">
        <f>ROUNDUP((64272),0)</f>
        <v>64272</v>
      </c>
      <c r="E62" s="2"/>
      <c r="F62" s="37">
        <f t="shared" ref="F62:F83" si="7">H62/J62</f>
        <v>0</v>
      </c>
      <c r="G62" s="2"/>
      <c r="H62" s="12">
        <f t="shared" ref="H62:H83" si="8">D62-J62</f>
        <v>0</v>
      </c>
      <c r="I62" s="2"/>
      <c r="J62" s="12">
        <v>64272</v>
      </c>
      <c r="K62" s="2"/>
    </row>
    <row r="63" spans="1:12" x14ac:dyDescent="0.25">
      <c r="A63" t="s">
        <v>56</v>
      </c>
      <c r="B63" t="s">
        <v>30</v>
      </c>
      <c r="C63" t="s">
        <v>31</v>
      </c>
      <c r="D63" s="12">
        <f>ROUNDUP((51902.45),0)</f>
        <v>51903</v>
      </c>
      <c r="E63" s="2"/>
      <c r="F63" s="37">
        <f t="shared" si="7"/>
        <v>0.33718923096740949</v>
      </c>
      <c r="G63" s="2"/>
      <c r="H63" s="12">
        <f t="shared" si="8"/>
        <v>13088</v>
      </c>
      <c r="I63" s="2"/>
      <c r="J63" s="12">
        <v>38815</v>
      </c>
      <c r="K63" s="2"/>
      <c r="L63" t="s">
        <v>357</v>
      </c>
    </row>
    <row r="64" spans="1:12" x14ac:dyDescent="0.25">
      <c r="A64" t="s">
        <v>56</v>
      </c>
      <c r="B64" t="s">
        <v>59</v>
      </c>
      <c r="C64" t="s">
        <v>60</v>
      </c>
      <c r="D64" s="12">
        <f>ROUNDUP((10000),0)</f>
        <v>10000</v>
      </c>
      <c r="E64" s="2"/>
      <c r="F64" s="37">
        <f t="shared" si="7"/>
        <v>0.25</v>
      </c>
      <c r="G64" s="2"/>
      <c r="H64" s="12">
        <f t="shared" si="8"/>
        <v>2000</v>
      </c>
      <c r="I64" s="2"/>
      <c r="J64" s="12">
        <v>8000</v>
      </c>
      <c r="K64" s="2"/>
    </row>
    <row r="65" spans="1:11" x14ac:dyDescent="0.25">
      <c r="A65" t="s">
        <v>56</v>
      </c>
      <c r="B65" t="s">
        <v>61</v>
      </c>
      <c r="C65" t="s">
        <v>62</v>
      </c>
      <c r="D65" s="12">
        <f>ROUNDUP((2600),0)</f>
        <v>2600</v>
      </c>
      <c r="E65" s="2"/>
      <c r="F65" s="37">
        <f t="shared" si="7"/>
        <v>0</v>
      </c>
      <c r="G65" s="2"/>
      <c r="H65" s="12">
        <f t="shared" si="8"/>
        <v>0</v>
      </c>
      <c r="I65" s="2"/>
      <c r="J65" s="12">
        <v>2600</v>
      </c>
      <c r="K65" s="2"/>
    </row>
    <row r="66" spans="1:11" x14ac:dyDescent="0.25">
      <c r="A66" t="s">
        <v>56</v>
      </c>
      <c r="B66" t="s">
        <v>34</v>
      </c>
      <c r="C66" t="s">
        <v>35</v>
      </c>
      <c r="D66" s="12">
        <f>ROUNDUP((238.14),0)</f>
        <v>239</v>
      </c>
      <c r="E66" s="2"/>
      <c r="F66" s="37">
        <f t="shared" si="7"/>
        <v>0.28494623655913981</v>
      </c>
      <c r="G66" s="2"/>
      <c r="H66" s="12">
        <f t="shared" si="8"/>
        <v>53</v>
      </c>
      <c r="I66" s="2"/>
      <c r="J66" s="12">
        <v>186</v>
      </c>
      <c r="K66" s="2"/>
    </row>
    <row r="67" spans="1:11" x14ac:dyDescent="0.25">
      <c r="A67" t="s">
        <v>56</v>
      </c>
      <c r="B67" t="s">
        <v>9</v>
      </c>
      <c r="C67" t="s">
        <v>10</v>
      </c>
      <c r="D67" s="12">
        <f>ROUNDUP((602.45),0)</f>
        <v>603</v>
      </c>
      <c r="E67" s="2"/>
      <c r="F67" s="37">
        <f t="shared" si="7"/>
        <v>0.83841463414634143</v>
      </c>
      <c r="G67" s="2"/>
      <c r="H67" s="12">
        <f t="shared" si="8"/>
        <v>275</v>
      </c>
      <c r="I67" s="2"/>
      <c r="J67" s="12">
        <v>328</v>
      </c>
      <c r="K67" s="2"/>
    </row>
    <row r="68" spans="1:11" x14ac:dyDescent="0.25">
      <c r="A68" t="s">
        <v>56</v>
      </c>
      <c r="B68" t="s">
        <v>36</v>
      </c>
      <c r="C68" t="s">
        <v>37</v>
      </c>
      <c r="D68" s="12">
        <f>ROUNDUP((10329.67),0)</f>
        <v>10330</v>
      </c>
      <c r="E68" s="2"/>
      <c r="F68" s="37">
        <f t="shared" si="7"/>
        <v>1.0763209393346379E-2</v>
      </c>
      <c r="G68" s="2"/>
      <c r="H68" s="12">
        <f t="shared" si="8"/>
        <v>110</v>
      </c>
      <c r="I68" s="2"/>
      <c r="J68" s="12">
        <v>10220</v>
      </c>
      <c r="K68" s="2"/>
    </row>
    <row r="69" spans="1:11" x14ac:dyDescent="0.25">
      <c r="A69" t="s">
        <v>56</v>
      </c>
      <c r="B69" t="s">
        <v>38</v>
      </c>
      <c r="C69" t="s">
        <v>39</v>
      </c>
      <c r="D69" s="12">
        <f>ROUNDUP((14985.12),0)</f>
        <v>14986</v>
      </c>
      <c r="E69" s="2"/>
      <c r="F69" s="37">
        <f t="shared" si="7"/>
        <v>-0.57863067622662734</v>
      </c>
      <c r="G69" s="2"/>
      <c r="H69" s="12">
        <f t="shared" si="8"/>
        <v>-20579</v>
      </c>
      <c r="I69" s="2"/>
      <c r="J69" s="12">
        <v>35565</v>
      </c>
      <c r="K69" s="2"/>
    </row>
    <row r="70" spans="1:11" x14ac:dyDescent="0.25">
      <c r="A70" t="s">
        <v>56</v>
      </c>
      <c r="B70" t="s">
        <v>11</v>
      </c>
      <c r="C70" t="s">
        <v>12</v>
      </c>
      <c r="D70" s="12">
        <f>ROUNDUP((9851.25),0)</f>
        <v>9852</v>
      </c>
      <c r="E70" s="2"/>
      <c r="F70" s="37">
        <f t="shared" si="7"/>
        <v>0.13280441531562609</v>
      </c>
      <c r="G70" s="2"/>
      <c r="H70" s="12">
        <f t="shared" si="8"/>
        <v>1155</v>
      </c>
      <c r="I70" s="2"/>
      <c r="J70" s="12">
        <v>8697</v>
      </c>
      <c r="K70" s="2"/>
    </row>
    <row r="71" spans="1:11" x14ac:dyDescent="0.25">
      <c r="A71" t="s">
        <v>56</v>
      </c>
      <c r="B71" t="s">
        <v>13</v>
      </c>
      <c r="C71" t="s">
        <v>14</v>
      </c>
      <c r="D71" s="12">
        <v>5300</v>
      </c>
      <c r="E71" s="2"/>
      <c r="F71" s="37">
        <f t="shared" si="7"/>
        <v>1.65</v>
      </c>
      <c r="G71" s="2"/>
      <c r="H71" s="12">
        <f t="shared" si="8"/>
        <v>3300</v>
      </c>
      <c r="I71" s="2"/>
      <c r="J71" s="12">
        <v>2000</v>
      </c>
      <c r="K71" s="2"/>
    </row>
    <row r="72" spans="1:11" x14ac:dyDescent="0.25">
      <c r="A72" t="s">
        <v>56</v>
      </c>
      <c r="B72" t="s">
        <v>19</v>
      </c>
      <c r="C72" t="s">
        <v>20</v>
      </c>
      <c r="D72" s="12">
        <v>4200</v>
      </c>
      <c r="E72" s="2"/>
      <c r="F72" s="37">
        <f t="shared" si="7"/>
        <v>1.625</v>
      </c>
      <c r="G72" s="2"/>
      <c r="H72" s="12">
        <f t="shared" si="8"/>
        <v>2600</v>
      </c>
      <c r="I72" s="2"/>
      <c r="J72" s="12">
        <v>1600</v>
      </c>
      <c r="K72" s="2"/>
    </row>
    <row r="73" spans="1:11" ht="120" x14ac:dyDescent="0.25">
      <c r="A73" s="1" t="s">
        <v>0</v>
      </c>
      <c r="B73" s="1" t="s">
        <v>1</v>
      </c>
      <c r="C73" s="1" t="s">
        <v>2</v>
      </c>
      <c r="D73" s="5" t="s">
        <v>337</v>
      </c>
      <c r="E73" s="1"/>
      <c r="F73" s="5" t="s">
        <v>409</v>
      </c>
      <c r="G73" s="1"/>
      <c r="H73" s="5" t="s">
        <v>410</v>
      </c>
      <c r="I73" s="1"/>
      <c r="J73" s="4" t="s">
        <v>335</v>
      </c>
      <c r="K73" s="1"/>
    </row>
    <row r="74" spans="1:11" x14ac:dyDescent="0.25">
      <c r="A74" t="s">
        <v>56</v>
      </c>
      <c r="B74" t="s">
        <v>21</v>
      </c>
      <c r="C74" t="s">
        <v>22</v>
      </c>
      <c r="D74" s="12">
        <v>1800</v>
      </c>
      <c r="E74" s="2"/>
      <c r="F74" s="37">
        <f t="shared" si="7"/>
        <v>1.25</v>
      </c>
      <c r="G74" s="2"/>
      <c r="H74" s="12">
        <f t="shared" si="8"/>
        <v>1000</v>
      </c>
      <c r="I74" s="2"/>
      <c r="J74" s="12">
        <v>800</v>
      </c>
      <c r="K74" s="2"/>
    </row>
    <row r="75" spans="1:11" x14ac:dyDescent="0.25">
      <c r="A75" t="s">
        <v>56</v>
      </c>
      <c r="B75" t="s">
        <v>63</v>
      </c>
      <c r="C75" t="s">
        <v>64</v>
      </c>
      <c r="D75" s="12">
        <v>5200</v>
      </c>
      <c r="E75" s="2"/>
      <c r="F75" s="37">
        <f t="shared" si="7"/>
        <v>0.92592592592592593</v>
      </c>
      <c r="G75" s="2"/>
      <c r="H75" s="12">
        <f t="shared" si="8"/>
        <v>2500</v>
      </c>
      <c r="I75" s="2"/>
      <c r="J75" s="12">
        <v>2700</v>
      </c>
      <c r="K75" s="2"/>
    </row>
    <row r="76" spans="1:11" x14ac:dyDescent="0.25">
      <c r="A76" t="s">
        <v>56</v>
      </c>
      <c r="B76" t="s">
        <v>40</v>
      </c>
      <c r="C76" t="s">
        <v>41</v>
      </c>
      <c r="D76" s="12">
        <v>420</v>
      </c>
      <c r="E76" s="2"/>
      <c r="F76" s="37">
        <f t="shared" si="7"/>
        <v>0</v>
      </c>
      <c r="G76" s="2"/>
      <c r="H76" s="12">
        <f t="shared" si="8"/>
        <v>0</v>
      </c>
      <c r="I76" s="2"/>
      <c r="J76" s="12">
        <v>420</v>
      </c>
      <c r="K76" s="2"/>
    </row>
    <row r="77" spans="1:11" x14ac:dyDescent="0.25">
      <c r="A77" t="s">
        <v>56</v>
      </c>
      <c r="B77" t="s">
        <v>23</v>
      </c>
      <c r="C77" t="s">
        <v>24</v>
      </c>
      <c r="D77" s="12">
        <v>2000</v>
      </c>
      <c r="E77" s="2"/>
      <c r="F77" s="37">
        <f t="shared" si="7"/>
        <v>0.1111111111111111</v>
      </c>
      <c r="G77" s="2"/>
      <c r="H77" s="12">
        <f t="shared" si="8"/>
        <v>200</v>
      </c>
      <c r="I77" s="2"/>
      <c r="J77" s="12">
        <v>1800</v>
      </c>
      <c r="K77" s="2"/>
    </row>
    <row r="78" spans="1:11" x14ac:dyDescent="0.25">
      <c r="A78" t="s">
        <v>56</v>
      </c>
      <c r="B78" t="s">
        <v>42</v>
      </c>
      <c r="C78" t="s">
        <v>43</v>
      </c>
      <c r="D78" s="12">
        <v>400</v>
      </c>
      <c r="E78" s="2"/>
      <c r="F78" s="37">
        <f t="shared" si="7"/>
        <v>0</v>
      </c>
      <c r="G78" s="2"/>
      <c r="H78" s="12">
        <f t="shared" si="8"/>
        <v>0</v>
      </c>
      <c r="I78" s="2"/>
      <c r="J78" s="12">
        <v>400</v>
      </c>
      <c r="K78" s="2"/>
    </row>
    <row r="79" spans="1:11" x14ac:dyDescent="0.25">
      <c r="A79" t="s">
        <v>56</v>
      </c>
      <c r="B79" t="s">
        <v>65</v>
      </c>
      <c r="C79" t="s">
        <v>66</v>
      </c>
      <c r="D79" s="12">
        <v>1010</v>
      </c>
      <c r="E79" s="2"/>
      <c r="F79" s="37">
        <f t="shared" si="7"/>
        <v>0</v>
      </c>
      <c r="G79" s="2"/>
      <c r="H79" s="12">
        <f t="shared" si="8"/>
        <v>0</v>
      </c>
      <c r="I79" s="2"/>
      <c r="J79" s="12">
        <v>1010</v>
      </c>
      <c r="K79" s="2"/>
    </row>
    <row r="80" spans="1:11" x14ac:dyDescent="0.25">
      <c r="A80" t="s">
        <v>56</v>
      </c>
      <c r="B80" t="s">
        <v>44</v>
      </c>
      <c r="C80" t="s">
        <v>45</v>
      </c>
      <c r="D80" s="12">
        <v>450</v>
      </c>
      <c r="E80" s="2"/>
      <c r="F80" s="37">
        <f t="shared" si="7"/>
        <v>0</v>
      </c>
      <c r="G80" s="2"/>
      <c r="H80" s="12">
        <f t="shared" si="8"/>
        <v>0</v>
      </c>
      <c r="I80" s="2"/>
      <c r="J80" s="12">
        <v>450</v>
      </c>
      <c r="K80" s="2"/>
    </row>
    <row r="81" spans="1:12" x14ac:dyDescent="0.25">
      <c r="A81" t="s">
        <v>56</v>
      </c>
      <c r="B81" t="s">
        <v>51</v>
      </c>
      <c r="C81" t="s">
        <v>52</v>
      </c>
      <c r="D81" s="12">
        <v>2260</v>
      </c>
      <c r="E81" s="2"/>
      <c r="F81" s="37">
        <f t="shared" si="7"/>
        <v>0.79365079365079361</v>
      </c>
      <c r="G81" s="2"/>
      <c r="H81" s="12">
        <f t="shared" si="8"/>
        <v>1000</v>
      </c>
      <c r="I81" s="2"/>
      <c r="J81" s="12">
        <v>1260</v>
      </c>
      <c r="K81" s="2"/>
    </row>
    <row r="82" spans="1:12" x14ac:dyDescent="0.25">
      <c r="A82" t="s">
        <v>56</v>
      </c>
      <c r="B82" t="s">
        <v>67</v>
      </c>
      <c r="C82" t="s">
        <v>68</v>
      </c>
      <c r="D82" s="12">
        <v>10450</v>
      </c>
      <c r="E82" s="2"/>
      <c r="F82" s="37">
        <f t="shared" si="7"/>
        <v>0</v>
      </c>
      <c r="G82" s="2"/>
      <c r="H82" s="12">
        <f t="shared" si="8"/>
        <v>0</v>
      </c>
      <c r="I82" s="2"/>
      <c r="J82" s="12">
        <v>10450</v>
      </c>
      <c r="K82" s="2"/>
    </row>
    <row r="83" spans="1:12" x14ac:dyDescent="0.25">
      <c r="A83" t="s">
        <v>56</v>
      </c>
      <c r="B83" t="s">
        <v>69</v>
      </c>
      <c r="C83" t="s">
        <v>70</v>
      </c>
      <c r="D83" s="12">
        <v>2800</v>
      </c>
      <c r="E83" s="2"/>
      <c r="F83" s="37">
        <f t="shared" si="7"/>
        <v>0</v>
      </c>
      <c r="G83" s="2"/>
      <c r="H83" s="12">
        <f t="shared" si="8"/>
        <v>0</v>
      </c>
      <c r="I83" s="2"/>
      <c r="J83" s="12">
        <v>2800</v>
      </c>
      <c r="K83" s="2"/>
    </row>
    <row r="84" spans="1:12" x14ac:dyDescent="0.25">
      <c r="D84" s="2"/>
      <c r="E84" s="2"/>
      <c r="F84" s="2"/>
      <c r="G84" s="2"/>
      <c r="H84" s="2"/>
      <c r="I84" s="2"/>
      <c r="K84" s="2"/>
    </row>
    <row r="85" spans="1:12" x14ac:dyDescent="0.25">
      <c r="A85" t="s">
        <v>5</v>
      </c>
      <c r="B85" t="s">
        <v>5</v>
      </c>
      <c r="C85" s="1" t="s">
        <v>349</v>
      </c>
      <c r="D85" s="8">
        <f>SUM(D62:D83)</f>
        <v>201075</v>
      </c>
      <c r="E85" s="2"/>
      <c r="F85" s="15">
        <f>H85/J85</f>
        <v>3.4480097544412031E-2</v>
      </c>
      <c r="G85" s="2"/>
      <c r="H85" s="8">
        <f>SUM(H62:H83)</f>
        <v>6702</v>
      </c>
      <c r="I85" s="2"/>
      <c r="J85" s="8">
        <f>SUM(J62:J83)</f>
        <v>194373</v>
      </c>
      <c r="K85" s="2"/>
    </row>
    <row r="86" spans="1:12" x14ac:dyDescent="0.25">
      <c r="D86" s="2"/>
      <c r="E86" s="2"/>
      <c r="F86" s="2"/>
      <c r="G86" s="2"/>
      <c r="H86" s="2"/>
      <c r="I86" s="2"/>
      <c r="K86" s="2"/>
    </row>
    <row r="87" spans="1:12" x14ac:dyDescent="0.25">
      <c r="A87" t="s">
        <v>73</v>
      </c>
      <c r="B87" t="s">
        <v>57</v>
      </c>
      <c r="C87" t="s">
        <v>58</v>
      </c>
      <c r="D87" s="12">
        <f>ROUNDUP((90280.74),0)</f>
        <v>90281</v>
      </c>
      <c r="E87" s="2"/>
      <c r="F87" s="37">
        <f t="shared" ref="F87:F101" si="9">H87/J87</f>
        <v>3.0064121579992241E-2</v>
      </c>
      <c r="G87" s="2"/>
      <c r="H87" s="12">
        <f t="shared" ref="H87:H101" si="10">D87-J87</f>
        <v>2635</v>
      </c>
      <c r="I87" s="2"/>
      <c r="J87" s="12">
        <v>87646</v>
      </c>
      <c r="K87" s="2"/>
      <c r="L87" t="s">
        <v>355</v>
      </c>
    </row>
    <row r="88" spans="1:12" x14ac:dyDescent="0.25">
      <c r="A88" t="s">
        <v>73</v>
      </c>
      <c r="B88" t="s">
        <v>30</v>
      </c>
      <c r="C88" t="s">
        <v>31</v>
      </c>
      <c r="D88" s="12">
        <f>ROUNDUP((94163.58),0)</f>
        <v>94164</v>
      </c>
      <c r="E88" s="2"/>
      <c r="F88" s="37">
        <f t="shared" si="9"/>
        <v>0.11583263221509912</v>
      </c>
      <c r="G88" s="2"/>
      <c r="H88" s="12">
        <f t="shared" si="10"/>
        <v>9775</v>
      </c>
      <c r="I88" s="2"/>
      <c r="J88" s="12">
        <v>84389</v>
      </c>
      <c r="K88" s="2"/>
      <c r="L88" t="s">
        <v>424</v>
      </c>
    </row>
    <row r="89" spans="1:12" x14ac:dyDescent="0.25">
      <c r="A89" t="s">
        <v>73</v>
      </c>
      <c r="B89" t="s">
        <v>61</v>
      </c>
      <c r="C89" t="s">
        <v>62</v>
      </c>
      <c r="D89" s="12">
        <v>1500</v>
      </c>
      <c r="E89" s="2"/>
      <c r="F89" s="37">
        <f t="shared" si="9"/>
        <v>2</v>
      </c>
      <c r="G89" s="2"/>
      <c r="H89" s="12">
        <f t="shared" si="10"/>
        <v>1000</v>
      </c>
      <c r="I89" s="2"/>
      <c r="J89" s="12">
        <v>500</v>
      </c>
      <c r="K89" s="2"/>
    </row>
    <row r="90" spans="1:12" x14ac:dyDescent="0.25">
      <c r="A90" t="s">
        <v>73</v>
      </c>
      <c r="B90" t="s">
        <v>34</v>
      </c>
      <c r="C90" t="s">
        <v>35</v>
      </c>
      <c r="D90" s="12">
        <f>ROUNDUP((176.4),0)</f>
        <v>177</v>
      </c>
      <c r="E90" s="2"/>
      <c r="F90" s="37">
        <f t="shared" si="9"/>
        <v>-0.20982142857142858</v>
      </c>
      <c r="G90" s="2"/>
      <c r="H90" s="12">
        <f t="shared" si="10"/>
        <v>-47</v>
      </c>
      <c r="I90" s="2"/>
      <c r="J90" s="12">
        <v>224</v>
      </c>
      <c r="K90" s="2"/>
    </row>
    <row r="91" spans="1:12" x14ac:dyDescent="0.25">
      <c r="A91" t="s">
        <v>73</v>
      </c>
      <c r="B91" t="s">
        <v>9</v>
      </c>
      <c r="C91" t="s">
        <v>10</v>
      </c>
      <c r="D91" s="12">
        <f>ROUNDUP((869.91),0)</f>
        <v>870</v>
      </c>
      <c r="E91" s="2"/>
      <c r="F91" s="37">
        <f t="shared" si="9"/>
        <v>1.0327102803738317</v>
      </c>
      <c r="G91" s="2"/>
      <c r="H91" s="12">
        <f t="shared" si="10"/>
        <v>442</v>
      </c>
      <c r="I91" s="2"/>
      <c r="J91" s="12">
        <v>428</v>
      </c>
      <c r="K91" s="2"/>
    </row>
    <row r="92" spans="1:12" x14ac:dyDescent="0.25">
      <c r="A92" t="s">
        <v>73</v>
      </c>
      <c r="B92" t="s">
        <v>36</v>
      </c>
      <c r="C92" t="s">
        <v>37</v>
      </c>
      <c r="D92" s="12">
        <f>ROUNDUP((18813.32),0)</f>
        <v>18814</v>
      </c>
      <c r="E92" s="2"/>
      <c r="F92" s="37">
        <f t="shared" si="9"/>
        <v>7.2144973786186464E-2</v>
      </c>
      <c r="G92" s="2"/>
      <c r="H92" s="12">
        <f t="shared" si="10"/>
        <v>1266</v>
      </c>
      <c r="I92" s="2"/>
      <c r="J92" s="12">
        <v>17548</v>
      </c>
      <c r="K92" s="2"/>
    </row>
    <row r="93" spans="1:12" x14ac:dyDescent="0.25">
      <c r="A93" t="s">
        <v>73</v>
      </c>
      <c r="B93" t="s">
        <v>38</v>
      </c>
      <c r="C93" t="s">
        <v>39</v>
      </c>
      <c r="D93" s="12">
        <f>ROUNDUP((51582.68),0)</f>
        <v>51583</v>
      </c>
      <c r="E93" s="2"/>
      <c r="F93" s="37">
        <f t="shared" si="9"/>
        <v>0.10586343659556223</v>
      </c>
      <c r="G93" s="2"/>
      <c r="H93" s="12">
        <f t="shared" si="10"/>
        <v>4938</v>
      </c>
      <c r="I93" s="2"/>
      <c r="J93" s="12">
        <v>46645</v>
      </c>
      <c r="K93" s="2"/>
    </row>
    <row r="94" spans="1:12" x14ac:dyDescent="0.25">
      <c r="A94" t="s">
        <v>73</v>
      </c>
      <c r="B94" t="s">
        <v>11</v>
      </c>
      <c r="C94" t="s">
        <v>12</v>
      </c>
      <c r="D94" s="12">
        <f>ROUNDUP((14224.74),0)</f>
        <v>14225</v>
      </c>
      <c r="E94" s="2"/>
      <c r="F94" s="37">
        <f t="shared" si="9"/>
        <v>7.773316160315176E-2</v>
      </c>
      <c r="G94" s="2"/>
      <c r="H94" s="12">
        <f t="shared" si="10"/>
        <v>1026</v>
      </c>
      <c r="I94" s="2"/>
      <c r="J94" s="12">
        <v>13199</v>
      </c>
      <c r="K94" s="2"/>
    </row>
    <row r="95" spans="1:12" x14ac:dyDescent="0.25">
      <c r="A95" t="s">
        <v>73</v>
      </c>
      <c r="B95" t="s">
        <v>13</v>
      </c>
      <c r="C95" t="s">
        <v>14</v>
      </c>
      <c r="D95" s="12">
        <v>3000</v>
      </c>
      <c r="E95" s="2"/>
      <c r="F95" s="37">
        <f t="shared" si="9"/>
        <v>0</v>
      </c>
      <c r="G95" s="2"/>
      <c r="H95" s="12">
        <f t="shared" si="10"/>
        <v>0</v>
      </c>
      <c r="I95" s="2"/>
      <c r="J95" s="12">
        <v>3000</v>
      </c>
      <c r="K95" s="2"/>
    </row>
    <row r="96" spans="1:12" x14ac:dyDescent="0.25">
      <c r="A96" t="s">
        <v>73</v>
      </c>
      <c r="B96" t="s">
        <v>19</v>
      </c>
      <c r="C96" t="s">
        <v>20</v>
      </c>
      <c r="D96" s="12">
        <v>1000</v>
      </c>
      <c r="E96" s="2"/>
      <c r="F96" s="37">
        <f t="shared" si="9"/>
        <v>0.25</v>
      </c>
      <c r="G96" s="2"/>
      <c r="H96" s="12">
        <f t="shared" si="10"/>
        <v>200</v>
      </c>
      <c r="I96" s="2"/>
      <c r="J96" s="12">
        <v>800</v>
      </c>
      <c r="K96" s="2"/>
    </row>
    <row r="97" spans="1:12" x14ac:dyDescent="0.25">
      <c r="A97" t="s">
        <v>73</v>
      </c>
      <c r="B97" t="s">
        <v>40</v>
      </c>
      <c r="C97" t="s">
        <v>41</v>
      </c>
      <c r="D97" s="12">
        <v>420</v>
      </c>
      <c r="E97" s="2"/>
      <c r="F97" s="37">
        <f t="shared" si="9"/>
        <v>0</v>
      </c>
      <c r="G97" s="2"/>
      <c r="H97" s="12">
        <f t="shared" si="10"/>
        <v>0</v>
      </c>
      <c r="I97" s="2"/>
      <c r="J97" s="12">
        <v>420</v>
      </c>
      <c r="K97" s="2"/>
    </row>
    <row r="98" spans="1:12" x14ac:dyDescent="0.25">
      <c r="A98" t="s">
        <v>73</v>
      </c>
      <c r="B98" t="s">
        <v>23</v>
      </c>
      <c r="C98" t="s">
        <v>24</v>
      </c>
      <c r="D98" s="12">
        <v>4400</v>
      </c>
      <c r="E98" s="2"/>
      <c r="F98" s="37">
        <f t="shared" si="9"/>
        <v>0</v>
      </c>
      <c r="G98" s="2"/>
      <c r="H98" s="12">
        <f t="shared" si="10"/>
        <v>0</v>
      </c>
      <c r="I98" s="2"/>
      <c r="J98" s="12">
        <v>4400</v>
      </c>
      <c r="K98" s="2"/>
    </row>
    <row r="99" spans="1:12" x14ac:dyDescent="0.25">
      <c r="A99" t="s">
        <v>73</v>
      </c>
      <c r="B99" t="s">
        <v>42</v>
      </c>
      <c r="C99" t="s">
        <v>43</v>
      </c>
      <c r="D99" s="12">
        <v>500</v>
      </c>
      <c r="E99" s="2"/>
      <c r="F99" s="37">
        <f t="shared" si="9"/>
        <v>0</v>
      </c>
      <c r="G99" s="2"/>
      <c r="H99" s="12">
        <f t="shared" si="10"/>
        <v>0</v>
      </c>
      <c r="I99" s="2"/>
      <c r="J99" s="12">
        <v>500</v>
      </c>
      <c r="K99" s="2"/>
    </row>
    <row r="100" spans="1:12" x14ac:dyDescent="0.25">
      <c r="A100" t="s">
        <v>73</v>
      </c>
      <c r="B100" t="s">
        <v>44</v>
      </c>
      <c r="C100" t="s">
        <v>45</v>
      </c>
      <c r="D100" s="12">
        <v>1000</v>
      </c>
      <c r="E100" s="2"/>
      <c r="F100" s="37">
        <f t="shared" si="9"/>
        <v>1</v>
      </c>
      <c r="G100" s="2"/>
      <c r="H100" s="12">
        <f t="shared" si="10"/>
        <v>500</v>
      </c>
      <c r="I100" s="2"/>
      <c r="J100" s="12">
        <v>500</v>
      </c>
      <c r="K100" s="2"/>
    </row>
    <row r="101" spans="1:12" x14ac:dyDescent="0.25">
      <c r="A101" t="s">
        <v>73</v>
      </c>
      <c r="B101" t="s">
        <v>51</v>
      </c>
      <c r="C101" t="s">
        <v>52</v>
      </c>
      <c r="D101" s="12">
        <v>1636</v>
      </c>
      <c r="E101" s="2"/>
      <c r="F101" s="37">
        <f t="shared" si="9"/>
        <v>0</v>
      </c>
      <c r="G101" s="2"/>
      <c r="H101" s="12">
        <f t="shared" si="10"/>
        <v>0</v>
      </c>
      <c r="I101" s="2"/>
      <c r="J101" s="12">
        <v>1636</v>
      </c>
      <c r="K101" s="2"/>
    </row>
    <row r="102" spans="1:12" x14ac:dyDescent="0.25">
      <c r="D102" s="2"/>
      <c r="E102" s="2"/>
      <c r="F102" s="2"/>
      <c r="G102" s="2"/>
      <c r="H102" s="2"/>
      <c r="I102" s="2"/>
      <c r="K102" s="2"/>
    </row>
    <row r="103" spans="1:12" x14ac:dyDescent="0.25">
      <c r="A103" t="s">
        <v>5</v>
      </c>
      <c r="B103" t="s">
        <v>5</v>
      </c>
      <c r="C103" s="1" t="s">
        <v>350</v>
      </c>
      <c r="D103" s="8">
        <f>SUM(D87:D101)</f>
        <v>283570</v>
      </c>
      <c r="E103" s="2"/>
      <c r="F103" s="15">
        <f>H103/J103</f>
        <v>8.3010292741612091E-2</v>
      </c>
      <c r="G103" s="2"/>
      <c r="H103" s="8">
        <f>SUM(H87:H101)</f>
        <v>21735</v>
      </c>
      <c r="I103" s="2"/>
      <c r="J103" s="8">
        <f>SUM(J87:J101)</f>
        <v>261835</v>
      </c>
      <c r="K103" s="2"/>
    </row>
    <row r="104" spans="1:12" x14ac:dyDescent="0.25">
      <c r="D104" s="2"/>
      <c r="E104" s="2"/>
      <c r="F104" s="2"/>
      <c r="G104" s="2"/>
      <c r="H104" s="2"/>
      <c r="I104" s="2"/>
      <c r="K104" s="2"/>
    </row>
    <row r="105" spans="1:12" x14ac:dyDescent="0.25">
      <c r="A105" t="s">
        <v>74</v>
      </c>
      <c r="B105" s="20" t="s">
        <v>57</v>
      </c>
      <c r="C105" t="s">
        <v>58</v>
      </c>
      <c r="D105" s="47">
        <v>70000</v>
      </c>
      <c r="E105" s="2"/>
      <c r="F105" s="37">
        <v>1</v>
      </c>
      <c r="G105" s="2"/>
      <c r="H105" s="12">
        <f t="shared" ref="H105:H118" si="11">D105-J105</f>
        <v>70000</v>
      </c>
      <c r="I105" s="2"/>
      <c r="J105" s="12">
        <v>0</v>
      </c>
      <c r="K105" s="2"/>
      <c r="L105" t="s">
        <v>354</v>
      </c>
    </row>
    <row r="106" spans="1:12" x14ac:dyDescent="0.25">
      <c r="A106" t="s">
        <v>74</v>
      </c>
      <c r="B106" t="s">
        <v>30</v>
      </c>
      <c r="C106" t="s">
        <v>31</v>
      </c>
      <c r="D106" s="12">
        <f>ROUNDUP((120938.48),0)</f>
        <v>120939</v>
      </c>
      <c r="E106" s="2"/>
      <c r="F106" s="37">
        <f t="shared" ref="F106:F116" si="12">H106/J106</f>
        <v>2.9925484351713862E-2</v>
      </c>
      <c r="G106" s="2"/>
      <c r="H106" s="12">
        <f t="shared" si="11"/>
        <v>3514</v>
      </c>
      <c r="I106" s="2"/>
      <c r="J106" s="12">
        <v>117425</v>
      </c>
      <c r="K106" s="2"/>
      <c r="L106" t="s">
        <v>355</v>
      </c>
    </row>
    <row r="107" spans="1:12" x14ac:dyDescent="0.25">
      <c r="A107" t="s">
        <v>74</v>
      </c>
      <c r="B107" t="s">
        <v>61</v>
      </c>
      <c r="C107" t="s">
        <v>75</v>
      </c>
      <c r="D107" s="12">
        <v>2500</v>
      </c>
      <c r="E107" s="2"/>
      <c r="F107" s="37">
        <f t="shared" si="12"/>
        <v>0</v>
      </c>
      <c r="G107" s="2"/>
      <c r="H107" s="12">
        <f t="shared" si="11"/>
        <v>0</v>
      </c>
      <c r="I107" s="2"/>
      <c r="J107" s="12">
        <v>2500</v>
      </c>
      <c r="K107" s="2"/>
    </row>
    <row r="108" spans="1:12" x14ac:dyDescent="0.25">
      <c r="A108" t="s">
        <v>74</v>
      </c>
      <c r="B108" t="s">
        <v>34</v>
      </c>
      <c r="C108" t="s">
        <v>35</v>
      </c>
      <c r="D108" s="12">
        <f>ROUNDUP((235.2),0)</f>
        <v>236</v>
      </c>
      <c r="E108" s="2"/>
      <c r="F108" s="37">
        <f t="shared" si="12"/>
        <v>5.3571428571428568E-2</v>
      </c>
      <c r="G108" s="2"/>
      <c r="H108" s="12">
        <f t="shared" si="11"/>
        <v>12</v>
      </c>
      <c r="I108" s="2"/>
      <c r="J108" s="12">
        <v>224</v>
      </c>
      <c r="K108" s="2"/>
    </row>
    <row r="109" spans="1:12" x14ac:dyDescent="0.25">
      <c r="A109" t="s">
        <v>74</v>
      </c>
      <c r="B109" t="s">
        <v>9</v>
      </c>
      <c r="C109" t="s">
        <v>10</v>
      </c>
      <c r="D109" s="12">
        <f>ROUNDUP((904.97),0)</f>
        <v>905</v>
      </c>
      <c r="E109" s="2"/>
      <c r="F109" s="37">
        <f t="shared" si="12"/>
        <v>1.685459940652819</v>
      </c>
      <c r="G109" s="2"/>
      <c r="H109" s="12">
        <f t="shared" si="11"/>
        <v>568</v>
      </c>
      <c r="I109" s="2"/>
      <c r="J109" s="12">
        <v>337</v>
      </c>
      <c r="K109" s="2"/>
    </row>
    <row r="110" spans="1:12" ht="120" x14ac:dyDescent="0.25">
      <c r="A110" s="1" t="s">
        <v>0</v>
      </c>
      <c r="B110" s="1" t="s">
        <v>1</v>
      </c>
      <c r="C110" s="1" t="s">
        <v>2</v>
      </c>
      <c r="D110" s="5" t="s">
        <v>337</v>
      </c>
      <c r="E110" s="1"/>
      <c r="F110" s="5" t="s">
        <v>409</v>
      </c>
      <c r="G110" s="1"/>
      <c r="H110" s="5" t="s">
        <v>410</v>
      </c>
      <c r="I110" s="1"/>
      <c r="J110" s="4" t="s">
        <v>335</v>
      </c>
      <c r="K110" s="1"/>
    </row>
    <row r="111" spans="1:12" x14ac:dyDescent="0.25">
      <c r="A111" t="s">
        <v>74</v>
      </c>
      <c r="B111" t="s">
        <v>36</v>
      </c>
      <c r="C111" t="s">
        <v>37</v>
      </c>
      <c r="D111" s="12">
        <f>ROUNDUP((19475.72),0)</f>
        <v>19476</v>
      </c>
      <c r="E111" s="2"/>
      <c r="F111" s="37">
        <f t="shared" si="12"/>
        <v>0.6259809651026883</v>
      </c>
      <c r="G111" s="2"/>
      <c r="H111" s="12">
        <f t="shared" si="11"/>
        <v>7498</v>
      </c>
      <c r="I111" s="2"/>
      <c r="J111" s="12">
        <v>11978</v>
      </c>
      <c r="K111" s="2"/>
    </row>
    <row r="112" spans="1:12" x14ac:dyDescent="0.25">
      <c r="A112" t="s">
        <v>74</v>
      </c>
      <c r="B112" t="s">
        <v>38</v>
      </c>
      <c r="C112" t="s">
        <v>39</v>
      </c>
      <c r="D112" s="12">
        <f>ROUNDUP((77547.68),0)</f>
        <v>77548</v>
      </c>
      <c r="E112" s="2"/>
      <c r="F112" s="37">
        <f t="shared" si="12"/>
        <v>0.98963464696223313</v>
      </c>
      <c r="G112" s="2"/>
      <c r="H112" s="12">
        <f t="shared" si="11"/>
        <v>38572</v>
      </c>
      <c r="I112" s="2"/>
      <c r="J112" s="12">
        <v>38976</v>
      </c>
      <c r="K112" s="2"/>
    </row>
    <row r="113" spans="1:12" x14ac:dyDescent="0.25">
      <c r="A113" t="s">
        <v>74</v>
      </c>
      <c r="B113" t="s">
        <v>11</v>
      </c>
      <c r="C113" t="s">
        <v>12</v>
      </c>
      <c r="D113" s="12">
        <f>ROUNDUP((14798.04),0)</f>
        <v>14799</v>
      </c>
      <c r="E113" s="2"/>
      <c r="F113" s="37">
        <f t="shared" si="12"/>
        <v>0.61314584695879659</v>
      </c>
      <c r="G113" s="2"/>
      <c r="H113" s="12">
        <f t="shared" si="11"/>
        <v>5625</v>
      </c>
      <c r="I113" s="2"/>
      <c r="J113" s="12">
        <v>9174</v>
      </c>
      <c r="K113" s="2"/>
    </row>
    <row r="114" spans="1:12" x14ac:dyDescent="0.25">
      <c r="A114" t="s">
        <v>74</v>
      </c>
      <c r="B114" t="s">
        <v>13</v>
      </c>
      <c r="C114" t="s">
        <v>14</v>
      </c>
      <c r="D114" s="12">
        <v>3000</v>
      </c>
      <c r="E114" s="2"/>
      <c r="F114" s="37">
        <f t="shared" si="12"/>
        <v>0</v>
      </c>
      <c r="G114" s="2"/>
      <c r="H114" s="12">
        <f t="shared" si="11"/>
        <v>0</v>
      </c>
      <c r="I114" s="2"/>
      <c r="J114" s="12">
        <v>3000</v>
      </c>
      <c r="K114" s="2"/>
    </row>
    <row r="115" spans="1:12" x14ac:dyDescent="0.25">
      <c r="A115" t="s">
        <v>74</v>
      </c>
      <c r="B115" t="s">
        <v>19</v>
      </c>
      <c r="C115" t="s">
        <v>20</v>
      </c>
      <c r="D115" s="12">
        <v>8000</v>
      </c>
      <c r="E115" s="2"/>
      <c r="F115" s="37">
        <f t="shared" si="12"/>
        <v>0</v>
      </c>
      <c r="G115" s="2"/>
      <c r="H115" s="12">
        <f t="shared" si="11"/>
        <v>0</v>
      </c>
      <c r="I115" s="2"/>
      <c r="J115" s="12">
        <v>8000</v>
      </c>
      <c r="K115" s="2"/>
    </row>
    <row r="116" spans="1:12" x14ac:dyDescent="0.25">
      <c r="A116" t="s">
        <v>74</v>
      </c>
      <c r="B116" t="s">
        <v>23</v>
      </c>
      <c r="C116" t="s">
        <v>24</v>
      </c>
      <c r="D116" s="12">
        <v>1000</v>
      </c>
      <c r="E116" s="2"/>
      <c r="F116" s="37">
        <f t="shared" si="12"/>
        <v>0.66666666666666663</v>
      </c>
      <c r="G116" s="2"/>
      <c r="H116" s="12">
        <f t="shared" si="11"/>
        <v>400</v>
      </c>
      <c r="I116" s="2"/>
      <c r="J116" s="12">
        <v>600</v>
      </c>
      <c r="K116" s="2"/>
    </row>
    <row r="117" spans="1:12" x14ac:dyDescent="0.25">
      <c r="A117" t="s">
        <v>74</v>
      </c>
      <c r="B117" t="s">
        <v>42</v>
      </c>
      <c r="C117" t="s">
        <v>43</v>
      </c>
      <c r="D117" s="12">
        <v>100</v>
      </c>
      <c r="E117" s="2"/>
      <c r="F117" s="37">
        <v>1</v>
      </c>
      <c r="G117" s="2"/>
      <c r="H117" s="12">
        <f t="shared" si="11"/>
        <v>100</v>
      </c>
      <c r="I117" s="2"/>
      <c r="J117" s="12">
        <v>0</v>
      </c>
      <c r="K117" s="2"/>
    </row>
    <row r="118" spans="1:12" x14ac:dyDescent="0.25">
      <c r="A118" t="s">
        <v>74</v>
      </c>
      <c r="B118" t="s">
        <v>44</v>
      </c>
      <c r="C118" t="s">
        <v>45</v>
      </c>
      <c r="D118" s="12">
        <v>500</v>
      </c>
      <c r="E118" s="2"/>
      <c r="F118" s="37">
        <f>H118/J118</f>
        <v>0</v>
      </c>
      <c r="G118" s="2"/>
      <c r="H118" s="12">
        <f t="shared" si="11"/>
        <v>0</v>
      </c>
      <c r="I118" s="2"/>
      <c r="J118" s="12">
        <v>500</v>
      </c>
      <c r="K118" s="2"/>
    </row>
    <row r="119" spans="1:12" x14ac:dyDescent="0.25">
      <c r="D119" s="2"/>
      <c r="E119" s="2"/>
      <c r="F119" s="2"/>
      <c r="G119" s="2"/>
      <c r="H119" s="2"/>
      <c r="I119" s="2"/>
      <c r="K119" s="2"/>
    </row>
    <row r="120" spans="1:12" x14ac:dyDescent="0.25">
      <c r="A120" t="s">
        <v>5</v>
      </c>
      <c r="B120" t="s">
        <v>5</v>
      </c>
      <c r="C120" s="1" t="s">
        <v>351</v>
      </c>
      <c r="D120" s="8">
        <f>SUM(D105:D118)</f>
        <v>319003</v>
      </c>
      <c r="E120" s="2"/>
      <c r="F120" s="15">
        <f>H120/J120</f>
        <v>0.65531824361489044</v>
      </c>
      <c r="G120" s="2"/>
      <c r="H120" s="8">
        <f>SUM(H105:H118)</f>
        <v>126289</v>
      </c>
      <c r="I120" s="2"/>
      <c r="J120" s="8">
        <f>SUM(J105:J118)</f>
        <v>192714</v>
      </c>
      <c r="K120" s="2"/>
    </row>
    <row r="121" spans="1:12" x14ac:dyDescent="0.25">
      <c r="D121" s="2"/>
      <c r="E121" s="2"/>
      <c r="F121" s="2"/>
      <c r="G121" s="2"/>
      <c r="H121" s="2"/>
      <c r="I121" s="2"/>
      <c r="K121" s="2"/>
    </row>
    <row r="122" spans="1:12" ht="30" customHeight="1" x14ac:dyDescent="0.25">
      <c r="A122" t="s">
        <v>78</v>
      </c>
      <c r="B122" t="s">
        <v>30</v>
      </c>
      <c r="C122" t="s">
        <v>79</v>
      </c>
      <c r="D122" s="12">
        <f>ROUNDUP((50689.18),0)</f>
        <v>50690</v>
      </c>
      <c r="E122" s="2"/>
      <c r="F122" s="37">
        <f t="shared" ref="F122:F137" si="13">H122/J122</f>
        <v>1.0599829316861056</v>
      </c>
      <c r="G122" s="2"/>
      <c r="H122" s="12">
        <f t="shared" ref="H122:H137" si="14">D122-J122</f>
        <v>26083</v>
      </c>
      <c r="I122" s="2"/>
      <c r="J122" s="12">
        <v>24607</v>
      </c>
      <c r="K122" s="2"/>
      <c r="L122" s="21" t="s">
        <v>356</v>
      </c>
    </row>
    <row r="123" spans="1:12" x14ac:dyDescent="0.25">
      <c r="A123" t="s">
        <v>78</v>
      </c>
      <c r="B123" t="s">
        <v>34</v>
      </c>
      <c r="C123" t="s">
        <v>35</v>
      </c>
      <c r="D123" s="12">
        <f>ROUNDUP((58.8),0)</f>
        <v>59</v>
      </c>
      <c r="E123" s="2"/>
      <c r="F123" s="37">
        <f t="shared" si="13"/>
        <v>-0.21333333333333335</v>
      </c>
      <c r="G123" s="2"/>
      <c r="H123" s="12">
        <f t="shared" si="14"/>
        <v>-16</v>
      </c>
      <c r="I123" s="2"/>
      <c r="J123" s="12">
        <v>75</v>
      </c>
      <c r="K123" s="2"/>
    </row>
    <row r="124" spans="1:12" x14ac:dyDescent="0.25">
      <c r="A124" t="s">
        <v>78</v>
      </c>
      <c r="B124" t="s">
        <v>9</v>
      </c>
      <c r="C124" t="s">
        <v>10</v>
      </c>
      <c r="D124" s="12">
        <f>ROUNDUP((237.14),0)</f>
        <v>238</v>
      </c>
      <c r="E124" s="2"/>
      <c r="F124" s="37">
        <f t="shared" si="13"/>
        <v>1.0877192982456141</v>
      </c>
      <c r="G124" s="2"/>
      <c r="H124" s="12">
        <f t="shared" si="14"/>
        <v>124</v>
      </c>
      <c r="I124" s="2"/>
      <c r="J124" s="12">
        <v>114</v>
      </c>
      <c r="K124" s="2"/>
    </row>
    <row r="125" spans="1:12" x14ac:dyDescent="0.25">
      <c r="A125" t="s">
        <v>78</v>
      </c>
      <c r="B125" t="s">
        <v>36</v>
      </c>
      <c r="C125" t="s">
        <v>37</v>
      </c>
      <c r="D125" s="12">
        <f>ROUNDUP((5170.3),0)</f>
        <v>5171</v>
      </c>
      <c r="E125" s="2"/>
      <c r="F125" s="37">
        <f t="shared" si="13"/>
        <v>1.0601593625498007</v>
      </c>
      <c r="G125" s="2"/>
      <c r="H125" s="12">
        <f t="shared" si="14"/>
        <v>2661</v>
      </c>
      <c r="I125" s="2"/>
      <c r="J125" s="12">
        <v>2510</v>
      </c>
      <c r="K125" s="2"/>
    </row>
    <row r="126" spans="1:12" x14ac:dyDescent="0.25">
      <c r="A126" t="s">
        <v>78</v>
      </c>
      <c r="B126" t="s">
        <v>38</v>
      </c>
      <c r="C126" t="s">
        <v>39</v>
      </c>
      <c r="D126" s="12">
        <f>ROUNDUP((3230.47),0)</f>
        <v>3231</v>
      </c>
      <c r="E126" s="2"/>
      <c r="F126" s="37">
        <f t="shared" si="13"/>
        <v>1.0605867346938775</v>
      </c>
      <c r="G126" s="2"/>
      <c r="H126" s="12">
        <f t="shared" si="14"/>
        <v>1663</v>
      </c>
      <c r="I126" s="2"/>
      <c r="J126" s="12">
        <v>1568</v>
      </c>
      <c r="K126" s="2"/>
    </row>
    <row r="127" spans="1:12" x14ac:dyDescent="0.25">
      <c r="A127" t="s">
        <v>78</v>
      </c>
      <c r="B127" t="s">
        <v>11</v>
      </c>
      <c r="C127" t="s">
        <v>12</v>
      </c>
      <c r="D127" s="12">
        <f>ROUNDUP((3877.72),0)</f>
        <v>3878</v>
      </c>
      <c r="E127" s="2"/>
      <c r="F127" s="37">
        <f t="shared" si="13"/>
        <v>1.0605738575982997</v>
      </c>
      <c r="G127" s="2"/>
      <c r="H127" s="12">
        <f t="shared" si="14"/>
        <v>1996</v>
      </c>
      <c r="I127" s="2"/>
      <c r="J127" s="12">
        <v>1882</v>
      </c>
      <c r="K127" s="2"/>
    </row>
    <row r="128" spans="1:12" x14ac:dyDescent="0.25">
      <c r="A128" t="s">
        <v>78</v>
      </c>
      <c r="B128" t="s">
        <v>13</v>
      </c>
      <c r="C128" t="s">
        <v>14</v>
      </c>
      <c r="D128" s="12">
        <v>1700</v>
      </c>
      <c r="E128" s="2"/>
      <c r="F128" s="37">
        <f t="shared" si="13"/>
        <v>3</v>
      </c>
      <c r="G128" s="2"/>
      <c r="H128" s="12">
        <f t="shared" si="14"/>
        <v>1275</v>
      </c>
      <c r="I128" s="2"/>
      <c r="J128" s="12">
        <v>425</v>
      </c>
      <c r="K128" s="2"/>
      <c r="L128" t="s">
        <v>425</v>
      </c>
    </row>
    <row r="129" spans="1:12" x14ac:dyDescent="0.25">
      <c r="A129" t="s">
        <v>78</v>
      </c>
      <c r="B129" t="s">
        <v>19</v>
      </c>
      <c r="C129" t="s">
        <v>20</v>
      </c>
      <c r="D129" s="12">
        <v>400</v>
      </c>
      <c r="E129" s="2"/>
      <c r="F129" s="37">
        <f t="shared" si="13"/>
        <v>0.33333333333333331</v>
      </c>
      <c r="G129" s="2"/>
      <c r="H129" s="12">
        <f t="shared" si="14"/>
        <v>100</v>
      </c>
      <c r="I129" s="2"/>
      <c r="J129" s="12">
        <v>300</v>
      </c>
      <c r="K129" s="2"/>
    </row>
    <row r="130" spans="1:12" x14ac:dyDescent="0.25">
      <c r="A130" t="s">
        <v>78</v>
      </c>
      <c r="B130" t="s">
        <v>63</v>
      </c>
      <c r="C130" t="s">
        <v>64</v>
      </c>
      <c r="D130" s="12">
        <v>350</v>
      </c>
      <c r="E130" s="2"/>
      <c r="F130" s="37">
        <f t="shared" si="13"/>
        <v>6.0606060606060608E-2</v>
      </c>
      <c r="G130" s="2"/>
      <c r="H130" s="12">
        <f t="shared" si="14"/>
        <v>20</v>
      </c>
      <c r="I130" s="2"/>
      <c r="J130" s="12">
        <v>330</v>
      </c>
      <c r="K130" s="2"/>
    </row>
    <row r="131" spans="1:12" x14ac:dyDescent="0.25">
      <c r="A131" t="s">
        <v>78</v>
      </c>
      <c r="B131" t="s">
        <v>23</v>
      </c>
      <c r="C131" t="s">
        <v>24</v>
      </c>
      <c r="D131" s="12">
        <v>600</v>
      </c>
      <c r="E131" s="2"/>
      <c r="F131" s="37">
        <f t="shared" si="13"/>
        <v>0.2</v>
      </c>
      <c r="G131" s="2"/>
      <c r="H131" s="12">
        <f t="shared" si="14"/>
        <v>100</v>
      </c>
      <c r="I131" s="2"/>
      <c r="J131" s="12">
        <v>500</v>
      </c>
      <c r="K131" s="2"/>
    </row>
    <row r="132" spans="1:12" x14ac:dyDescent="0.25">
      <c r="A132" t="s">
        <v>78</v>
      </c>
      <c r="B132" t="s">
        <v>42</v>
      </c>
      <c r="C132" t="s">
        <v>43</v>
      </c>
      <c r="D132" s="12">
        <v>200</v>
      </c>
      <c r="E132" s="2"/>
      <c r="F132" s="37">
        <f t="shared" si="13"/>
        <v>0.33333333333333331</v>
      </c>
      <c r="G132" s="2"/>
      <c r="H132" s="12">
        <f t="shared" si="14"/>
        <v>50</v>
      </c>
      <c r="I132" s="2"/>
      <c r="J132" s="12">
        <v>150</v>
      </c>
      <c r="K132" s="2"/>
    </row>
    <row r="133" spans="1:12" x14ac:dyDescent="0.25">
      <c r="A133" t="s">
        <v>78</v>
      </c>
      <c r="B133" t="s">
        <v>44</v>
      </c>
      <c r="C133" t="s">
        <v>45</v>
      </c>
      <c r="D133" s="12">
        <v>700</v>
      </c>
      <c r="E133" s="2"/>
      <c r="F133" s="37">
        <f t="shared" si="13"/>
        <v>1</v>
      </c>
      <c r="G133" s="2"/>
      <c r="H133" s="12">
        <f t="shared" si="14"/>
        <v>350</v>
      </c>
      <c r="I133" s="2"/>
      <c r="J133" s="12">
        <v>350</v>
      </c>
      <c r="K133" s="2"/>
    </row>
    <row r="134" spans="1:12" x14ac:dyDescent="0.25">
      <c r="A134" t="s">
        <v>78</v>
      </c>
      <c r="B134" t="s">
        <v>51</v>
      </c>
      <c r="C134" t="s">
        <v>52</v>
      </c>
      <c r="D134" s="12">
        <v>35000</v>
      </c>
      <c r="E134" s="2"/>
      <c r="F134" s="37">
        <f t="shared" si="13"/>
        <v>0</v>
      </c>
      <c r="G134" s="2"/>
      <c r="H134" s="12">
        <f t="shared" si="14"/>
        <v>0</v>
      </c>
      <c r="I134" s="2"/>
      <c r="J134" s="12">
        <v>35000</v>
      </c>
      <c r="K134" s="2"/>
    </row>
    <row r="135" spans="1:12" x14ac:dyDescent="0.25">
      <c r="A135" t="s">
        <v>78</v>
      </c>
      <c r="B135" t="s">
        <v>76</v>
      </c>
      <c r="C135" t="s">
        <v>77</v>
      </c>
      <c r="D135" s="12">
        <v>850</v>
      </c>
      <c r="E135" s="2"/>
      <c r="F135" s="37">
        <f t="shared" si="13"/>
        <v>0.21428571428571427</v>
      </c>
      <c r="G135" s="2"/>
      <c r="H135" s="12">
        <f t="shared" si="14"/>
        <v>150</v>
      </c>
      <c r="I135" s="2"/>
      <c r="J135" s="12">
        <v>700</v>
      </c>
      <c r="K135" s="2"/>
    </row>
    <row r="136" spans="1:12" x14ac:dyDescent="0.25">
      <c r="A136" t="s">
        <v>78</v>
      </c>
      <c r="B136" t="s">
        <v>80</v>
      </c>
      <c r="C136" t="s">
        <v>81</v>
      </c>
      <c r="D136" s="12">
        <v>2000</v>
      </c>
      <c r="E136" s="2"/>
      <c r="F136" s="37">
        <f t="shared" si="13"/>
        <v>0</v>
      </c>
      <c r="G136" s="2"/>
      <c r="H136" s="12">
        <f t="shared" si="14"/>
        <v>0</v>
      </c>
      <c r="I136" s="2"/>
      <c r="J136" s="12">
        <v>2000</v>
      </c>
      <c r="K136" s="2"/>
    </row>
    <row r="137" spans="1:12" x14ac:dyDescent="0.25">
      <c r="A137" t="s">
        <v>78</v>
      </c>
      <c r="B137" t="s">
        <v>82</v>
      </c>
      <c r="C137" t="s">
        <v>83</v>
      </c>
      <c r="D137" s="12">
        <v>30000</v>
      </c>
      <c r="E137" s="2"/>
      <c r="F137" s="37">
        <f t="shared" si="13"/>
        <v>0</v>
      </c>
      <c r="G137" s="2"/>
      <c r="H137" s="12">
        <f t="shared" si="14"/>
        <v>0</v>
      </c>
      <c r="I137" s="2"/>
      <c r="J137" s="12">
        <v>30000</v>
      </c>
      <c r="K137" s="2"/>
    </row>
    <row r="138" spans="1:12" x14ac:dyDescent="0.25">
      <c r="D138" s="2"/>
      <c r="E138" s="2"/>
      <c r="F138" s="2"/>
      <c r="G138" s="2"/>
      <c r="H138" s="2"/>
      <c r="I138" s="2"/>
      <c r="K138" s="2"/>
    </row>
    <row r="139" spans="1:12" x14ac:dyDescent="0.25">
      <c r="A139" t="s">
        <v>5</v>
      </c>
      <c r="B139" t="s">
        <v>5</v>
      </c>
      <c r="C139" s="1" t="s">
        <v>352</v>
      </c>
      <c r="D139" s="8">
        <f>SUM(D122:D137)</f>
        <v>135067</v>
      </c>
      <c r="E139" s="2"/>
      <c r="F139" s="15">
        <f>H139/J139</f>
        <v>0.34380316582264625</v>
      </c>
      <c r="G139" s="2"/>
      <c r="H139" s="8">
        <f>SUM(H122:H137)</f>
        <v>34556</v>
      </c>
      <c r="I139" s="2"/>
      <c r="J139" s="8">
        <f>SUM(J122:J137)</f>
        <v>100511</v>
      </c>
      <c r="K139" s="2"/>
    </row>
    <row r="140" spans="1:12" x14ac:dyDescent="0.25">
      <c r="D140" s="2"/>
      <c r="E140" s="2"/>
      <c r="F140" s="2"/>
      <c r="G140" s="2"/>
      <c r="H140" s="2"/>
      <c r="I140" s="2"/>
      <c r="K140" s="2"/>
    </row>
    <row r="141" spans="1:12" x14ac:dyDescent="0.25">
      <c r="A141" t="s">
        <v>84</v>
      </c>
      <c r="B141" t="s">
        <v>57</v>
      </c>
      <c r="C141" t="s">
        <v>58</v>
      </c>
      <c r="D141" s="12">
        <f>ROUNDUP((79572.59),0)</f>
        <v>79573</v>
      </c>
      <c r="E141" s="2"/>
      <c r="F141" s="37">
        <f t="shared" ref="F141:F156" si="15">H141/J141</f>
        <v>3.0004530451103489E-2</v>
      </c>
      <c r="G141" s="2"/>
      <c r="H141" s="12">
        <f t="shared" ref="H141:H156" si="16">D141-J141</f>
        <v>2318</v>
      </c>
      <c r="I141" s="2"/>
      <c r="J141" s="12">
        <v>77255</v>
      </c>
      <c r="K141" s="2"/>
      <c r="L141" t="s">
        <v>355</v>
      </c>
    </row>
    <row r="142" spans="1:12" ht="30" x14ac:dyDescent="0.25">
      <c r="A142" t="s">
        <v>84</v>
      </c>
      <c r="B142" t="s">
        <v>30</v>
      </c>
      <c r="C142" t="s">
        <v>31</v>
      </c>
      <c r="D142" s="12">
        <f>ROUNDUP((18210.4),0)</f>
        <v>18211</v>
      </c>
      <c r="E142" s="2"/>
      <c r="F142" s="37">
        <f t="shared" si="15"/>
        <v>-0.56397548244983964</v>
      </c>
      <c r="G142" s="2"/>
      <c r="H142" s="12">
        <f t="shared" si="16"/>
        <v>-23555</v>
      </c>
      <c r="I142" s="2"/>
      <c r="J142" s="12">
        <v>41766</v>
      </c>
      <c r="K142" s="2"/>
      <c r="L142" s="21" t="s">
        <v>356</v>
      </c>
    </row>
    <row r="143" spans="1:12" x14ac:dyDescent="0.25">
      <c r="A143" t="s">
        <v>84</v>
      </c>
      <c r="B143" t="s">
        <v>34</v>
      </c>
      <c r="C143" t="s">
        <v>35</v>
      </c>
      <c r="D143" s="12">
        <f>ROUNDUP((117.6),0)</f>
        <v>118</v>
      </c>
      <c r="E143" s="2"/>
      <c r="F143" s="37">
        <f t="shared" si="15"/>
        <v>-0.20805369127516779</v>
      </c>
      <c r="G143" s="2"/>
      <c r="H143" s="12">
        <f t="shared" si="16"/>
        <v>-31</v>
      </c>
      <c r="I143" s="2"/>
      <c r="J143" s="12">
        <v>149</v>
      </c>
      <c r="K143" s="2"/>
    </row>
    <row r="144" spans="1:12" x14ac:dyDescent="0.25">
      <c r="A144" t="s">
        <v>84</v>
      </c>
      <c r="B144" t="s">
        <v>9</v>
      </c>
      <c r="C144" t="s">
        <v>10</v>
      </c>
      <c r="D144" s="12">
        <f>ROUNDUP((2746.86),0)</f>
        <v>2747</v>
      </c>
      <c r="E144" s="2"/>
      <c r="F144" s="37">
        <f t="shared" si="15"/>
        <v>6.5554693560899921E-2</v>
      </c>
      <c r="G144" s="2"/>
      <c r="H144" s="12">
        <f t="shared" si="16"/>
        <v>169</v>
      </c>
      <c r="I144" s="2"/>
      <c r="J144" s="12">
        <v>2578</v>
      </c>
      <c r="K144" s="2"/>
    </row>
    <row r="145" spans="1:12" ht="105" x14ac:dyDescent="0.25">
      <c r="A145" s="1" t="s">
        <v>0</v>
      </c>
      <c r="B145" s="1" t="s">
        <v>1</v>
      </c>
      <c r="C145" s="1" t="s">
        <v>2</v>
      </c>
      <c r="D145" s="5" t="s">
        <v>337</v>
      </c>
      <c r="E145" s="1"/>
      <c r="F145" s="5" t="s">
        <v>409</v>
      </c>
      <c r="G145" s="1"/>
      <c r="H145" s="5" t="s">
        <v>410</v>
      </c>
      <c r="I145" s="1"/>
      <c r="J145" s="4" t="s">
        <v>335</v>
      </c>
      <c r="K145" s="1"/>
    </row>
    <row r="146" spans="1:12" x14ac:dyDescent="0.25">
      <c r="A146" t="s">
        <v>84</v>
      </c>
      <c r="B146" t="s">
        <v>36</v>
      </c>
      <c r="C146" t="s">
        <v>37</v>
      </c>
      <c r="D146" s="12">
        <f>ROUNDUP((8116.4),0)</f>
        <v>8117</v>
      </c>
      <c r="E146" s="2"/>
      <c r="F146" s="37">
        <f t="shared" si="15"/>
        <v>-0.21876804619826756</v>
      </c>
      <c r="G146" s="2"/>
      <c r="H146" s="12">
        <f t="shared" si="16"/>
        <v>-2273</v>
      </c>
      <c r="I146" s="2"/>
      <c r="J146" s="12">
        <v>10390</v>
      </c>
      <c r="K146" s="2"/>
    </row>
    <row r="147" spans="1:12" x14ac:dyDescent="0.25">
      <c r="A147" t="s">
        <v>84</v>
      </c>
      <c r="B147" t="s">
        <v>38</v>
      </c>
      <c r="C147" t="s">
        <v>39</v>
      </c>
      <c r="D147" s="12">
        <f>ROUNDUP((27269.05),0)</f>
        <v>27270</v>
      </c>
      <c r="E147" s="2"/>
      <c r="F147" s="37">
        <f t="shared" si="15"/>
        <v>0.38813947569356072</v>
      </c>
      <c r="G147" s="2"/>
      <c r="H147" s="12">
        <f t="shared" si="16"/>
        <v>7625</v>
      </c>
      <c r="I147" s="2"/>
      <c r="J147" s="12">
        <v>19645</v>
      </c>
      <c r="K147" s="2"/>
    </row>
    <row r="148" spans="1:12" x14ac:dyDescent="0.25">
      <c r="A148" t="s">
        <v>84</v>
      </c>
      <c r="B148" t="s">
        <v>11</v>
      </c>
      <c r="C148" t="s">
        <v>12</v>
      </c>
      <c r="D148" s="12">
        <f>ROUNDUP((7480.4),0)</f>
        <v>7481</v>
      </c>
      <c r="E148" s="2"/>
      <c r="F148" s="37">
        <f t="shared" si="15"/>
        <v>-0.17836353651839648</v>
      </c>
      <c r="G148" s="2"/>
      <c r="H148" s="12">
        <f t="shared" si="16"/>
        <v>-1624</v>
      </c>
      <c r="I148" s="2"/>
      <c r="J148" s="12">
        <v>9105</v>
      </c>
      <c r="K148" s="2"/>
    </row>
    <row r="149" spans="1:12" x14ac:dyDescent="0.25">
      <c r="A149" t="s">
        <v>84</v>
      </c>
      <c r="B149" t="s">
        <v>13</v>
      </c>
      <c r="C149" t="s">
        <v>14</v>
      </c>
      <c r="D149" s="12">
        <v>1600</v>
      </c>
      <c r="E149" s="2"/>
      <c r="F149" s="37">
        <f t="shared" si="15"/>
        <v>1.5873015873015872E-2</v>
      </c>
      <c r="G149" s="2"/>
      <c r="H149" s="12">
        <f t="shared" si="16"/>
        <v>25</v>
      </c>
      <c r="I149" s="2"/>
      <c r="J149" s="12">
        <v>1575</v>
      </c>
      <c r="K149" s="2"/>
    </row>
    <row r="150" spans="1:12" x14ac:dyDescent="0.25">
      <c r="A150" t="s">
        <v>84</v>
      </c>
      <c r="B150" t="s">
        <v>19</v>
      </c>
      <c r="C150" t="s">
        <v>20</v>
      </c>
      <c r="D150" s="12">
        <v>200</v>
      </c>
      <c r="E150" s="2"/>
      <c r="F150" s="37">
        <f t="shared" si="15"/>
        <v>0.33333333333333331</v>
      </c>
      <c r="G150" s="2"/>
      <c r="H150" s="12">
        <f t="shared" si="16"/>
        <v>50</v>
      </c>
      <c r="I150" s="2"/>
      <c r="J150" s="12">
        <v>150</v>
      </c>
      <c r="K150" s="2"/>
    </row>
    <row r="151" spans="1:12" x14ac:dyDescent="0.25">
      <c r="A151" t="s">
        <v>84</v>
      </c>
      <c r="B151" t="s">
        <v>40</v>
      </c>
      <c r="C151" t="s">
        <v>41</v>
      </c>
      <c r="D151" s="12">
        <v>420</v>
      </c>
      <c r="E151" s="2"/>
      <c r="F151" s="37">
        <f t="shared" si="15"/>
        <v>0</v>
      </c>
      <c r="G151" s="2"/>
      <c r="H151" s="12">
        <f t="shared" si="16"/>
        <v>0</v>
      </c>
      <c r="I151" s="2"/>
      <c r="J151" s="12">
        <v>420</v>
      </c>
      <c r="K151" s="2"/>
    </row>
    <row r="152" spans="1:12" x14ac:dyDescent="0.25">
      <c r="A152" t="s">
        <v>84</v>
      </c>
      <c r="B152" t="s">
        <v>85</v>
      </c>
      <c r="C152" t="s">
        <v>86</v>
      </c>
      <c r="D152" s="12">
        <v>850</v>
      </c>
      <c r="E152" s="2"/>
      <c r="F152" s="37">
        <f t="shared" si="15"/>
        <v>0</v>
      </c>
      <c r="G152" s="2"/>
      <c r="H152" s="12">
        <f t="shared" si="16"/>
        <v>0</v>
      </c>
      <c r="I152" s="2"/>
      <c r="J152" s="12">
        <v>850</v>
      </c>
      <c r="K152" s="2"/>
    </row>
    <row r="153" spans="1:12" x14ac:dyDescent="0.25">
      <c r="A153" t="s">
        <v>84</v>
      </c>
      <c r="B153" t="s">
        <v>23</v>
      </c>
      <c r="C153" t="s">
        <v>24</v>
      </c>
      <c r="D153" s="12">
        <v>800</v>
      </c>
      <c r="E153" s="2"/>
      <c r="F153" s="37">
        <f t="shared" si="15"/>
        <v>0.33333333333333331</v>
      </c>
      <c r="G153" s="2"/>
      <c r="H153" s="12">
        <f t="shared" si="16"/>
        <v>200</v>
      </c>
      <c r="I153" s="2"/>
      <c r="J153" s="12">
        <v>600</v>
      </c>
      <c r="K153" s="2"/>
    </row>
    <row r="154" spans="1:12" x14ac:dyDescent="0.25">
      <c r="A154" t="s">
        <v>84</v>
      </c>
      <c r="B154" t="s">
        <v>42</v>
      </c>
      <c r="C154" t="s">
        <v>43</v>
      </c>
      <c r="D154" s="12">
        <v>120</v>
      </c>
      <c r="E154" s="2"/>
      <c r="F154" s="37">
        <f t="shared" si="15"/>
        <v>0</v>
      </c>
      <c r="G154" s="2"/>
      <c r="H154" s="12">
        <f t="shared" si="16"/>
        <v>0</v>
      </c>
      <c r="I154" s="2"/>
      <c r="J154" s="12">
        <v>120</v>
      </c>
      <c r="K154" s="2"/>
    </row>
    <row r="155" spans="1:12" x14ac:dyDescent="0.25">
      <c r="A155" t="s">
        <v>84</v>
      </c>
      <c r="B155" t="s">
        <v>87</v>
      </c>
      <c r="C155" t="s">
        <v>88</v>
      </c>
      <c r="D155" s="12">
        <v>200</v>
      </c>
      <c r="E155" s="2"/>
      <c r="F155" s="37">
        <f t="shared" si="15"/>
        <v>-0.8</v>
      </c>
      <c r="G155" s="2"/>
      <c r="H155" s="12">
        <f t="shared" si="16"/>
        <v>-800</v>
      </c>
      <c r="I155" s="2"/>
      <c r="J155" s="12">
        <v>1000</v>
      </c>
      <c r="K155" s="2"/>
      <c r="L155" t="s">
        <v>360</v>
      </c>
    </row>
    <row r="156" spans="1:12" x14ac:dyDescent="0.25">
      <c r="A156" t="s">
        <v>84</v>
      </c>
      <c r="B156" t="s">
        <v>80</v>
      </c>
      <c r="C156" t="s">
        <v>81</v>
      </c>
      <c r="D156" s="12">
        <v>3150</v>
      </c>
      <c r="E156" s="2"/>
      <c r="F156" s="37">
        <f t="shared" si="15"/>
        <v>2.15</v>
      </c>
      <c r="G156" s="2"/>
      <c r="H156" s="12">
        <f t="shared" si="16"/>
        <v>2150</v>
      </c>
      <c r="I156" s="2"/>
      <c r="J156" s="12">
        <v>1000</v>
      </c>
      <c r="K156" s="2"/>
      <c r="L156" t="s">
        <v>359</v>
      </c>
    </row>
    <row r="157" spans="1:12" x14ac:dyDescent="0.25">
      <c r="D157" s="2"/>
      <c r="E157" s="2"/>
      <c r="F157" s="2"/>
      <c r="G157" s="2"/>
      <c r="H157" s="2"/>
      <c r="I157" s="2"/>
      <c r="K157" s="2"/>
    </row>
    <row r="158" spans="1:12" x14ac:dyDescent="0.25">
      <c r="A158" t="s">
        <v>5</v>
      </c>
      <c r="B158" t="s">
        <v>5</v>
      </c>
      <c r="C158" s="1" t="s">
        <v>353</v>
      </c>
      <c r="D158" s="8">
        <f>SUM(D141:D156)</f>
        <v>150857</v>
      </c>
      <c r="E158" s="2"/>
      <c r="F158" s="15">
        <f>H158/J158</f>
        <v>-9.4512103623584212E-2</v>
      </c>
      <c r="G158" s="2"/>
      <c r="H158" s="8">
        <f>SUM(H141:H156)</f>
        <v>-15746</v>
      </c>
      <c r="I158" s="2"/>
      <c r="J158" s="8">
        <f>SUM(J141:J156)</f>
        <v>166603</v>
      </c>
      <c r="K158" s="2"/>
    </row>
    <row r="159" spans="1:12" x14ac:dyDescent="0.25">
      <c r="D159" s="2"/>
      <c r="E159" s="2"/>
      <c r="F159" s="2"/>
      <c r="G159" s="2"/>
      <c r="H159" s="2"/>
      <c r="I159" s="2"/>
      <c r="K159" s="2"/>
    </row>
    <row r="160" spans="1:12" ht="17.25" customHeight="1" x14ac:dyDescent="0.25">
      <c r="A160" t="s">
        <v>89</v>
      </c>
      <c r="B160" t="s">
        <v>90</v>
      </c>
      <c r="C160" t="s">
        <v>91</v>
      </c>
      <c r="D160" s="12">
        <f>'FY24 Department Head Budget'!D156</f>
        <v>34500</v>
      </c>
      <c r="E160" s="2"/>
      <c r="F160" s="37">
        <f t="shared" ref="F160:F170" si="17">H160/J160</f>
        <v>0.15</v>
      </c>
      <c r="G160" s="2"/>
      <c r="H160" s="12">
        <f t="shared" ref="H160:H170" si="18">D160-J160</f>
        <v>4500</v>
      </c>
      <c r="I160" s="2"/>
      <c r="J160" s="12">
        <v>30000</v>
      </c>
      <c r="K160" s="2"/>
      <c r="L160" s="21" t="s">
        <v>414</v>
      </c>
    </row>
    <row r="161" spans="1:12" ht="17.25" customHeight="1" x14ac:dyDescent="0.25">
      <c r="A161" t="s">
        <v>89</v>
      </c>
      <c r="B161" t="s">
        <v>92</v>
      </c>
      <c r="C161" t="s">
        <v>93</v>
      </c>
      <c r="D161" s="12">
        <f>'FY24 Department Head Budget'!D157</f>
        <v>6650</v>
      </c>
      <c r="E161" s="2"/>
      <c r="F161" s="37">
        <f t="shared" si="17"/>
        <v>0.15012106537530268</v>
      </c>
      <c r="G161" s="2"/>
      <c r="H161" s="12">
        <f t="shared" si="18"/>
        <v>868</v>
      </c>
      <c r="I161" s="2"/>
      <c r="J161" s="12">
        <v>5782</v>
      </c>
      <c r="K161" s="2"/>
      <c r="L161" s="21" t="s">
        <v>414</v>
      </c>
    </row>
    <row r="162" spans="1:12" ht="17.25" customHeight="1" x14ac:dyDescent="0.25">
      <c r="A162" t="s">
        <v>89</v>
      </c>
      <c r="B162" t="s">
        <v>94</v>
      </c>
      <c r="C162" t="s">
        <v>95</v>
      </c>
      <c r="D162" s="12">
        <f>'FY24 Department Head Budget'!D158</f>
        <v>23033</v>
      </c>
      <c r="E162" s="2"/>
      <c r="F162" s="37">
        <f t="shared" si="17"/>
        <v>0.15003994407829038</v>
      </c>
      <c r="G162" s="2"/>
      <c r="H162" s="12">
        <f t="shared" si="18"/>
        <v>3005</v>
      </c>
      <c r="I162" s="2"/>
      <c r="J162" s="12">
        <v>20028</v>
      </c>
      <c r="K162" s="2"/>
      <c r="L162" s="21" t="s">
        <v>414</v>
      </c>
    </row>
    <row r="163" spans="1:12" ht="17.25" customHeight="1" x14ac:dyDescent="0.25">
      <c r="A163" t="s">
        <v>89</v>
      </c>
      <c r="B163" t="s">
        <v>96</v>
      </c>
      <c r="C163" t="s">
        <v>97</v>
      </c>
      <c r="D163" s="12">
        <f>'FY24 Department Head Budget'!D159</f>
        <v>6097</v>
      </c>
      <c r="E163" s="2"/>
      <c r="F163" s="37">
        <f t="shared" si="17"/>
        <v>0.15016034710431994</v>
      </c>
      <c r="G163" s="2"/>
      <c r="H163" s="12">
        <f t="shared" si="18"/>
        <v>796</v>
      </c>
      <c r="I163" s="2"/>
      <c r="J163" s="12">
        <v>5301</v>
      </c>
      <c r="K163" s="2"/>
      <c r="L163" s="21" t="s">
        <v>414</v>
      </c>
    </row>
    <row r="164" spans="1:12" ht="17.25" customHeight="1" x14ac:dyDescent="0.25">
      <c r="A164" t="s">
        <v>89</v>
      </c>
      <c r="B164" t="s">
        <v>98</v>
      </c>
      <c r="C164" t="s">
        <v>99</v>
      </c>
      <c r="D164" s="12">
        <f>'FY24 Department Head Budget'!D160</f>
        <v>43728</v>
      </c>
      <c r="E164" s="2"/>
      <c r="F164" s="37">
        <f t="shared" si="17"/>
        <v>0.15001051967178625</v>
      </c>
      <c r="G164" s="2"/>
      <c r="H164" s="12">
        <f t="shared" si="18"/>
        <v>5704</v>
      </c>
      <c r="I164" s="2"/>
      <c r="J164" s="12">
        <v>38024</v>
      </c>
      <c r="K164" s="2"/>
      <c r="L164" s="21" t="s">
        <v>414</v>
      </c>
    </row>
    <row r="165" spans="1:12" ht="17.25" customHeight="1" x14ac:dyDescent="0.25">
      <c r="D165" s="12"/>
      <c r="E165" s="2"/>
      <c r="F165" s="37"/>
      <c r="G165" s="2"/>
      <c r="H165" s="12"/>
      <c r="I165" s="2"/>
      <c r="J165" s="12"/>
      <c r="K165" s="2"/>
      <c r="L165" s="21"/>
    </row>
    <row r="166" spans="1:12" ht="17.25" customHeight="1" x14ac:dyDescent="0.25">
      <c r="A166" t="s">
        <v>89</v>
      </c>
      <c r="B166" t="s">
        <v>100</v>
      </c>
      <c r="C166" t="s">
        <v>101</v>
      </c>
      <c r="D166" s="12">
        <f>'FY24 Department Head Budget'!D161</f>
        <v>489</v>
      </c>
      <c r="E166" s="2"/>
      <c r="F166" s="37">
        <f t="shared" si="17"/>
        <v>0.15058823529411763</v>
      </c>
      <c r="G166" s="2"/>
      <c r="H166" s="12">
        <f t="shared" si="18"/>
        <v>64</v>
      </c>
      <c r="I166" s="2"/>
      <c r="J166" s="12">
        <v>425</v>
      </c>
      <c r="K166" s="2"/>
      <c r="L166" s="21" t="s">
        <v>414</v>
      </c>
    </row>
    <row r="167" spans="1:12" ht="17.25" customHeight="1" x14ac:dyDescent="0.25">
      <c r="A167" t="s">
        <v>89</v>
      </c>
      <c r="B167" t="s">
        <v>102</v>
      </c>
      <c r="C167" t="s">
        <v>103</v>
      </c>
      <c r="D167" s="12">
        <f>'FY24 Department Head Budget'!D162</f>
        <v>1777</v>
      </c>
      <c r="E167" s="2"/>
      <c r="F167" s="37">
        <f t="shared" si="17"/>
        <v>0.15016181229773462</v>
      </c>
      <c r="G167" s="2"/>
      <c r="H167" s="12">
        <f t="shared" si="18"/>
        <v>232</v>
      </c>
      <c r="I167" s="2"/>
      <c r="J167" s="12">
        <v>1545</v>
      </c>
      <c r="K167" s="2"/>
      <c r="L167" s="21" t="s">
        <v>414</v>
      </c>
    </row>
    <row r="168" spans="1:12" ht="17.25" customHeight="1" x14ac:dyDescent="0.25">
      <c r="A168" t="s">
        <v>89</v>
      </c>
      <c r="B168" t="s">
        <v>104</v>
      </c>
      <c r="C168" t="s">
        <v>105</v>
      </c>
      <c r="D168" s="12">
        <f>'FY24 Department Head Budget'!D163</f>
        <v>2371</v>
      </c>
      <c r="E168" s="2"/>
      <c r="F168" s="37">
        <f t="shared" si="17"/>
        <v>0.15041242115477924</v>
      </c>
      <c r="G168" s="2"/>
      <c r="H168" s="12">
        <f t="shared" si="18"/>
        <v>310</v>
      </c>
      <c r="I168" s="2"/>
      <c r="J168" s="12">
        <v>2061</v>
      </c>
      <c r="K168" s="2"/>
      <c r="L168" s="21" t="s">
        <v>414</v>
      </c>
    </row>
    <row r="169" spans="1:12" ht="17.25" customHeight="1" x14ac:dyDescent="0.25">
      <c r="A169" t="s">
        <v>89</v>
      </c>
      <c r="B169" t="s">
        <v>106</v>
      </c>
      <c r="C169" t="s">
        <v>107</v>
      </c>
      <c r="D169" s="12">
        <f>'FY24 Department Head Budget'!D164</f>
        <v>3422</v>
      </c>
      <c r="E169" s="2"/>
      <c r="F169" s="37">
        <f t="shared" si="17"/>
        <v>0.15025210084033613</v>
      </c>
      <c r="G169" s="2"/>
      <c r="H169" s="12">
        <f t="shared" si="18"/>
        <v>447</v>
      </c>
      <c r="I169" s="2"/>
      <c r="J169" s="12">
        <v>2975</v>
      </c>
      <c r="K169" s="2"/>
      <c r="L169" s="21" t="s">
        <v>414</v>
      </c>
    </row>
    <row r="170" spans="1:12" ht="17.25" customHeight="1" x14ac:dyDescent="0.25">
      <c r="A170" t="s">
        <v>89</v>
      </c>
      <c r="B170" t="s">
        <v>108</v>
      </c>
      <c r="C170" t="s">
        <v>109</v>
      </c>
      <c r="D170" s="12">
        <f>'FY24 Department Head Budget'!D165</f>
        <v>1449</v>
      </c>
      <c r="E170" s="2"/>
      <c r="F170" s="37">
        <f t="shared" si="17"/>
        <v>0.15</v>
      </c>
      <c r="G170" s="2"/>
      <c r="H170" s="12">
        <f t="shared" si="18"/>
        <v>189</v>
      </c>
      <c r="I170" s="2"/>
      <c r="J170" s="12">
        <v>1260</v>
      </c>
      <c r="K170" s="2"/>
      <c r="L170" s="21" t="s">
        <v>414</v>
      </c>
    </row>
    <row r="171" spans="1:12" x14ac:dyDescent="0.25">
      <c r="D171" s="2"/>
      <c r="E171" s="2"/>
      <c r="F171" s="2"/>
      <c r="G171" s="2"/>
      <c r="H171" s="2"/>
      <c r="I171" s="2"/>
      <c r="K171" s="2"/>
    </row>
    <row r="172" spans="1:12" x14ac:dyDescent="0.25">
      <c r="A172" t="s">
        <v>5</v>
      </c>
      <c r="B172" t="s">
        <v>5</v>
      </c>
      <c r="C172" s="1" t="s">
        <v>361</v>
      </c>
      <c r="D172" s="8">
        <f>SUM(D160:D170)</f>
        <v>123516</v>
      </c>
      <c r="E172" s="2"/>
      <c r="F172" s="15">
        <f>H172/J172</f>
        <v>0.15004515786631409</v>
      </c>
      <c r="G172" s="2"/>
      <c r="H172" s="8">
        <f>SUM(H160:H170)</f>
        <v>16115</v>
      </c>
      <c r="I172" s="2"/>
      <c r="J172" s="8">
        <f>SUM(J160:J170)</f>
        <v>107401</v>
      </c>
      <c r="K172" s="2"/>
    </row>
    <row r="173" spans="1:12" x14ac:dyDescent="0.25">
      <c r="D173" s="2"/>
      <c r="E173" s="2"/>
      <c r="F173" s="2"/>
      <c r="G173" s="2"/>
      <c r="H173" s="2"/>
      <c r="I173" s="2"/>
      <c r="K173" s="2"/>
    </row>
    <row r="174" spans="1:12" x14ac:dyDescent="0.25">
      <c r="A174" t="s">
        <v>110</v>
      </c>
      <c r="B174" t="s">
        <v>111</v>
      </c>
      <c r="C174" s="30" t="s">
        <v>112</v>
      </c>
      <c r="D174" s="12">
        <f>27000+4200</f>
        <v>31200</v>
      </c>
      <c r="E174" s="2"/>
      <c r="F174" s="37">
        <f>H174/J174</f>
        <v>0.48571428571428571</v>
      </c>
      <c r="G174" s="2"/>
      <c r="H174" s="12">
        <f>D174-J174</f>
        <v>10200</v>
      </c>
      <c r="I174" s="2"/>
      <c r="J174" s="9">
        <v>21000</v>
      </c>
      <c r="K174" s="2"/>
      <c r="L174" t="s">
        <v>443</v>
      </c>
    </row>
    <row r="175" spans="1:12" x14ac:dyDescent="0.25">
      <c r="A175" t="s">
        <v>110</v>
      </c>
      <c r="B175" t="s">
        <v>113</v>
      </c>
      <c r="C175" s="30" t="s">
        <v>114</v>
      </c>
      <c r="D175" s="12">
        <v>14256</v>
      </c>
      <c r="E175" s="2"/>
      <c r="F175" s="37">
        <f>H175/J175</f>
        <v>2.8497222422624629E-2</v>
      </c>
      <c r="G175" s="2"/>
      <c r="H175" s="12">
        <f>D175-J175</f>
        <v>395</v>
      </c>
      <c r="I175" s="2"/>
      <c r="J175" s="9">
        <v>13861</v>
      </c>
      <c r="K175" s="2"/>
    </row>
    <row r="176" spans="1:12" x14ac:dyDescent="0.25">
      <c r="A176" t="s">
        <v>110</v>
      </c>
      <c r="B176" t="s">
        <v>115</v>
      </c>
      <c r="C176" s="30" t="s">
        <v>116</v>
      </c>
      <c r="D176" s="12">
        <f>ROUNDUP((252369.49),0)</f>
        <v>252370</v>
      </c>
      <c r="E176" s="2"/>
      <c r="F176" s="37">
        <f>H176/J176</f>
        <v>0.14298007246376812</v>
      </c>
      <c r="G176" s="2"/>
      <c r="H176" s="12">
        <f>D176-J176</f>
        <v>31570</v>
      </c>
      <c r="I176" s="2"/>
      <c r="J176" s="9">
        <v>220800</v>
      </c>
      <c r="K176" s="2"/>
      <c r="L176" s="21"/>
    </row>
    <row r="177" spans="1:12" x14ac:dyDescent="0.25">
      <c r="A177" t="s">
        <v>110</v>
      </c>
      <c r="B177" t="s">
        <v>69</v>
      </c>
      <c r="C177" s="30" t="s">
        <v>70</v>
      </c>
      <c r="D177" s="12">
        <f>27000+35000</f>
        <v>62000</v>
      </c>
      <c r="E177" s="2"/>
      <c r="F177" s="37">
        <f>H177/J177</f>
        <v>1.5833333333333333</v>
      </c>
      <c r="G177" s="2"/>
      <c r="H177" s="12">
        <f>D177-J177</f>
        <v>38000</v>
      </c>
      <c r="I177" s="2"/>
      <c r="J177" s="9">
        <v>24000</v>
      </c>
      <c r="K177" s="2"/>
      <c r="L177" t="s">
        <v>442</v>
      </c>
    </row>
    <row r="178" spans="1:12" x14ac:dyDescent="0.25">
      <c r="D178" s="2"/>
      <c r="E178" s="2"/>
      <c r="F178" s="2"/>
      <c r="G178" s="2"/>
      <c r="H178" s="2"/>
      <c r="I178" s="2"/>
      <c r="K178" s="2"/>
    </row>
    <row r="179" spans="1:12" x14ac:dyDescent="0.25">
      <c r="A179" t="s">
        <v>5</v>
      </c>
      <c r="B179" t="s">
        <v>5</v>
      </c>
      <c r="C179" s="1" t="s">
        <v>362</v>
      </c>
      <c r="D179" s="8">
        <f>SUM(D174:D177)</f>
        <v>359826</v>
      </c>
      <c r="E179" s="2"/>
      <c r="F179" s="15">
        <f>H179/J179</f>
        <v>0.28665062343337111</v>
      </c>
      <c r="G179" s="2"/>
      <c r="H179" s="8">
        <f>SUM(H174:H178)</f>
        <v>80165</v>
      </c>
      <c r="I179" s="2"/>
      <c r="J179" s="8">
        <f>SUM(J174:J177)</f>
        <v>279661</v>
      </c>
      <c r="K179" s="2"/>
    </row>
    <row r="180" spans="1:12" ht="105" x14ac:dyDescent="0.25">
      <c r="A180" s="1" t="s">
        <v>0</v>
      </c>
      <c r="B180" s="1" t="s">
        <v>1</v>
      </c>
      <c r="C180" s="1" t="s">
        <v>2</v>
      </c>
      <c r="D180" s="5" t="s">
        <v>337</v>
      </c>
      <c r="E180" s="1"/>
      <c r="F180" s="5" t="s">
        <v>409</v>
      </c>
      <c r="G180" s="1"/>
      <c r="H180" s="5" t="s">
        <v>410</v>
      </c>
      <c r="I180" s="1"/>
      <c r="J180" s="4" t="s">
        <v>335</v>
      </c>
      <c r="K180" s="1"/>
    </row>
    <row r="181" spans="1:12" x14ac:dyDescent="0.25">
      <c r="A181" s="20" t="s">
        <v>396</v>
      </c>
      <c r="B181" s="20" t="s">
        <v>397</v>
      </c>
      <c r="C181" t="s">
        <v>402</v>
      </c>
      <c r="D181" s="47">
        <v>4799493</v>
      </c>
      <c r="E181" s="2"/>
      <c r="F181" s="37">
        <f>H181/J181</f>
        <v>8.6501442143459145E-2</v>
      </c>
      <c r="G181" s="2"/>
      <c r="H181" s="12">
        <f>D181-J181</f>
        <v>382110</v>
      </c>
      <c r="I181" s="2"/>
      <c r="J181" s="9">
        <v>4417383</v>
      </c>
      <c r="K181" s="2"/>
    </row>
    <row r="182" spans="1:12" x14ac:dyDescent="0.25">
      <c r="A182" s="20" t="s">
        <v>396</v>
      </c>
      <c r="B182" s="20" t="s">
        <v>398</v>
      </c>
      <c r="C182" t="s">
        <v>403</v>
      </c>
      <c r="D182" s="47">
        <v>2448583</v>
      </c>
      <c r="E182" s="2"/>
      <c r="F182" s="37">
        <f>H182/J182</f>
        <v>-0.14229593482720923</v>
      </c>
      <c r="G182" s="2"/>
      <c r="H182" s="12">
        <f>D182-J182</f>
        <v>-406228</v>
      </c>
      <c r="I182" s="2"/>
      <c r="J182" s="9">
        <v>2854811</v>
      </c>
      <c r="K182" s="2"/>
    </row>
    <row r="183" spans="1:12" x14ac:dyDescent="0.25">
      <c r="A183" s="20" t="s">
        <v>396</v>
      </c>
      <c r="B183" s="20" t="s">
        <v>399</v>
      </c>
      <c r="C183" t="s">
        <v>404</v>
      </c>
      <c r="D183" s="47">
        <v>430229</v>
      </c>
      <c r="E183" s="2"/>
      <c r="F183" s="37">
        <f>H183/J183</f>
        <v>-1.957750330431612E-2</v>
      </c>
      <c r="G183" s="2"/>
      <c r="H183" s="12">
        <f>D183-J183</f>
        <v>-8591</v>
      </c>
      <c r="I183" s="2"/>
      <c r="J183" s="9">
        <v>438820</v>
      </c>
      <c r="K183" s="2"/>
    </row>
    <row r="184" spans="1:12" x14ac:dyDescent="0.25">
      <c r="A184" s="20" t="s">
        <v>396</v>
      </c>
      <c r="B184" s="20" t="s">
        <v>400</v>
      </c>
      <c r="C184" t="s">
        <v>405</v>
      </c>
      <c r="D184" s="47">
        <v>17418</v>
      </c>
      <c r="E184" s="2"/>
      <c r="F184" s="37">
        <f>H184/J184</f>
        <v>-0.20349368940918236</v>
      </c>
      <c r="G184" s="2"/>
      <c r="H184" s="12">
        <f>D184-J184</f>
        <v>-4450</v>
      </c>
      <c r="I184" s="2"/>
      <c r="J184" s="9">
        <v>21868</v>
      </c>
      <c r="K184" s="2"/>
    </row>
    <row r="185" spans="1:12" x14ac:dyDescent="0.25">
      <c r="B185" s="20"/>
      <c r="D185" s="2"/>
      <c r="E185" s="2"/>
      <c r="F185" s="2"/>
      <c r="G185" s="2"/>
      <c r="H185" s="2"/>
      <c r="I185" s="2"/>
      <c r="K185" s="2"/>
    </row>
    <row r="186" spans="1:12" x14ac:dyDescent="0.25">
      <c r="B186" s="20"/>
      <c r="C186" s="1" t="s">
        <v>401</v>
      </c>
      <c r="D186" s="8">
        <f>SUM(D181:D184)</f>
        <v>7695723</v>
      </c>
      <c r="E186" s="2"/>
      <c r="F186" s="15">
        <f>H186/J186</f>
        <v>-4.8053235520728235E-3</v>
      </c>
      <c r="G186" s="2"/>
      <c r="H186" s="8">
        <f>SUM(H181:H184)</f>
        <v>-37159</v>
      </c>
      <c r="I186" s="2"/>
      <c r="J186" s="8">
        <f>SUM(J181:J184)</f>
        <v>7732882</v>
      </c>
      <c r="K186" s="2"/>
    </row>
    <row r="187" spans="1:12" x14ac:dyDescent="0.25">
      <c r="D187" s="2"/>
      <c r="E187" s="2"/>
      <c r="F187" s="2"/>
      <c r="G187" s="2"/>
      <c r="H187" s="2"/>
      <c r="I187" s="2"/>
      <c r="K187" s="2"/>
    </row>
    <row r="188" spans="1:12" x14ac:dyDescent="0.25">
      <c r="A188" t="s">
        <v>117</v>
      </c>
      <c r="B188" t="s">
        <v>30</v>
      </c>
      <c r="C188" t="s">
        <v>79</v>
      </c>
      <c r="D188" s="12">
        <f>ROUNDUP((15782.88),0)</f>
        <v>15783</v>
      </c>
      <c r="E188" s="2"/>
      <c r="F188" s="37">
        <f t="shared" ref="F188:F202" si="19">H188/J188</f>
        <v>-2.0905707196029778E-2</v>
      </c>
      <c r="G188" s="2"/>
      <c r="H188" s="12">
        <f t="shared" ref="H188:H202" si="20">D188-J188</f>
        <v>-337</v>
      </c>
      <c r="I188" s="2"/>
      <c r="J188" s="12">
        <v>16120</v>
      </c>
      <c r="K188" s="2"/>
    </row>
    <row r="189" spans="1:12" x14ac:dyDescent="0.25">
      <c r="A189" t="s">
        <v>117</v>
      </c>
      <c r="B189" t="s">
        <v>34</v>
      </c>
      <c r="C189" t="s">
        <v>35</v>
      </c>
      <c r="D189" s="12">
        <f>ROUNDUP((58.8),0)</f>
        <v>59</v>
      </c>
      <c r="E189" s="2"/>
      <c r="F189" s="37">
        <f t="shared" si="19"/>
        <v>-0.21333333333333335</v>
      </c>
      <c r="G189" s="2"/>
      <c r="H189" s="12">
        <f t="shared" si="20"/>
        <v>-16</v>
      </c>
      <c r="I189" s="2"/>
      <c r="J189" s="12">
        <v>75</v>
      </c>
      <c r="K189" s="2"/>
    </row>
    <row r="190" spans="1:12" x14ac:dyDescent="0.25">
      <c r="A190" t="s">
        <v>117</v>
      </c>
      <c r="B190" t="s">
        <v>9</v>
      </c>
      <c r="C190" t="s">
        <v>10</v>
      </c>
      <c r="D190" s="12">
        <f>ROUNDUP((612.52),0)</f>
        <v>613</v>
      </c>
      <c r="E190" s="2"/>
      <c r="F190" s="37">
        <f t="shared" si="19"/>
        <v>0.16318785578747627</v>
      </c>
      <c r="G190" s="2"/>
      <c r="H190" s="12">
        <f t="shared" si="20"/>
        <v>86</v>
      </c>
      <c r="I190" s="2"/>
      <c r="J190" s="12">
        <v>527</v>
      </c>
      <c r="K190" s="2"/>
    </row>
    <row r="191" spans="1:12" x14ac:dyDescent="0.25">
      <c r="A191" t="s">
        <v>117</v>
      </c>
      <c r="B191" t="s">
        <v>11</v>
      </c>
      <c r="C191" t="s">
        <v>118</v>
      </c>
      <c r="D191" s="12">
        <f>ROUNDUP((1016.14),0)</f>
        <v>1017</v>
      </c>
      <c r="E191" s="2"/>
      <c r="F191" s="37">
        <f t="shared" si="19"/>
        <v>-0.17518248175182483</v>
      </c>
      <c r="G191" s="2"/>
      <c r="H191" s="12">
        <f t="shared" si="20"/>
        <v>-216</v>
      </c>
      <c r="I191" s="2"/>
      <c r="J191" s="12">
        <v>1233</v>
      </c>
      <c r="K191" s="2"/>
    </row>
    <row r="192" spans="1:12" x14ac:dyDescent="0.25">
      <c r="A192" t="s">
        <v>117</v>
      </c>
      <c r="B192" t="s">
        <v>15</v>
      </c>
      <c r="C192" t="s">
        <v>16</v>
      </c>
      <c r="D192" s="12">
        <v>6500</v>
      </c>
      <c r="E192" s="2"/>
      <c r="F192" s="37">
        <f t="shared" si="19"/>
        <v>0</v>
      </c>
      <c r="G192" s="2"/>
      <c r="H192" s="12">
        <f t="shared" si="20"/>
        <v>0</v>
      </c>
      <c r="I192" s="2"/>
      <c r="J192" s="12">
        <v>6500</v>
      </c>
      <c r="K192" s="2"/>
    </row>
    <row r="193" spans="1:12" x14ac:dyDescent="0.25">
      <c r="A193" t="s">
        <v>117</v>
      </c>
      <c r="B193" t="s">
        <v>51</v>
      </c>
      <c r="C193" t="s">
        <v>52</v>
      </c>
      <c r="D193" s="12">
        <v>0</v>
      </c>
      <c r="E193" s="2"/>
      <c r="F193" s="37">
        <f t="shared" si="19"/>
        <v>-1</v>
      </c>
      <c r="G193" s="2"/>
      <c r="H193" s="12">
        <f t="shared" si="20"/>
        <v>-20000</v>
      </c>
      <c r="I193" s="2"/>
      <c r="J193" s="12">
        <v>20000</v>
      </c>
      <c r="K193" s="2"/>
    </row>
    <row r="194" spans="1:12" x14ac:dyDescent="0.25">
      <c r="A194" t="s">
        <v>117</v>
      </c>
      <c r="B194" t="s">
        <v>119</v>
      </c>
      <c r="C194" t="s">
        <v>120</v>
      </c>
      <c r="D194" s="12">
        <v>48000</v>
      </c>
      <c r="E194" s="2"/>
      <c r="F194" s="37">
        <f t="shared" si="19"/>
        <v>0</v>
      </c>
      <c r="G194" s="2"/>
      <c r="H194" s="12">
        <f t="shared" si="20"/>
        <v>0</v>
      </c>
      <c r="I194" s="2"/>
      <c r="J194" s="12">
        <v>48000</v>
      </c>
      <c r="K194" s="2"/>
    </row>
    <row r="195" spans="1:12" x14ac:dyDescent="0.25">
      <c r="A195" t="s">
        <v>117</v>
      </c>
      <c r="B195" t="s">
        <v>121</v>
      </c>
      <c r="C195" t="s">
        <v>122</v>
      </c>
      <c r="D195" s="12">
        <f>2300*1.14</f>
        <v>2622</v>
      </c>
      <c r="E195" s="2"/>
      <c r="F195" s="37">
        <f t="shared" si="19"/>
        <v>0.14000000000000001</v>
      </c>
      <c r="G195" s="2"/>
      <c r="H195" s="12">
        <f t="shared" si="20"/>
        <v>322</v>
      </c>
      <c r="I195" s="2"/>
      <c r="J195" s="12">
        <v>2300</v>
      </c>
      <c r="K195" s="2"/>
    </row>
    <row r="196" spans="1:12" x14ac:dyDescent="0.25">
      <c r="A196" t="s">
        <v>117</v>
      </c>
      <c r="B196" t="s">
        <v>123</v>
      </c>
      <c r="C196" t="s">
        <v>124</v>
      </c>
      <c r="D196" s="12">
        <v>10500</v>
      </c>
      <c r="E196" s="2"/>
      <c r="F196" s="37">
        <f t="shared" si="19"/>
        <v>0</v>
      </c>
      <c r="G196" s="2"/>
      <c r="H196" s="12">
        <f t="shared" si="20"/>
        <v>0</v>
      </c>
      <c r="I196" s="2"/>
      <c r="J196" s="12">
        <v>10500</v>
      </c>
      <c r="K196" s="2"/>
    </row>
    <row r="197" spans="1:12" x14ac:dyDescent="0.25">
      <c r="A197" t="s">
        <v>117</v>
      </c>
      <c r="B197" t="s">
        <v>125</v>
      </c>
      <c r="C197" t="s">
        <v>126</v>
      </c>
      <c r="D197" s="12">
        <f>ROUNDUP((856.96),0)</f>
        <v>857</v>
      </c>
      <c r="E197" s="2"/>
      <c r="F197" s="37">
        <f t="shared" si="19"/>
        <v>4.0048543689320391E-2</v>
      </c>
      <c r="G197" s="2"/>
      <c r="H197" s="12">
        <f t="shared" si="20"/>
        <v>33</v>
      </c>
      <c r="I197" s="2"/>
      <c r="J197" s="12">
        <v>824</v>
      </c>
      <c r="K197" s="2"/>
      <c r="L197" t="s">
        <v>426</v>
      </c>
    </row>
    <row r="198" spans="1:12" x14ac:dyDescent="0.25">
      <c r="A198" t="s">
        <v>117</v>
      </c>
      <c r="B198" t="s">
        <v>127</v>
      </c>
      <c r="C198" t="s">
        <v>128</v>
      </c>
      <c r="D198" s="12">
        <v>20000</v>
      </c>
      <c r="E198" s="2"/>
      <c r="F198" s="37">
        <f t="shared" si="19"/>
        <v>0.19760479041916168</v>
      </c>
      <c r="G198" s="2"/>
      <c r="H198" s="12">
        <f t="shared" si="20"/>
        <v>3300</v>
      </c>
      <c r="I198" s="2"/>
      <c r="J198" s="12">
        <v>16700</v>
      </c>
      <c r="K198" s="2"/>
    </row>
    <row r="199" spans="1:12" x14ac:dyDescent="0.25">
      <c r="A199" t="s">
        <v>117</v>
      </c>
      <c r="B199" t="s">
        <v>129</v>
      </c>
      <c r="C199" t="s">
        <v>130</v>
      </c>
      <c r="D199" s="12">
        <v>37000</v>
      </c>
      <c r="E199" s="2"/>
      <c r="F199" s="37">
        <f t="shared" si="19"/>
        <v>8.8235294117647065E-2</v>
      </c>
      <c r="G199" s="2"/>
      <c r="H199" s="12">
        <f t="shared" si="20"/>
        <v>3000</v>
      </c>
      <c r="I199" s="2"/>
      <c r="J199" s="12">
        <v>34000</v>
      </c>
      <c r="K199" s="2"/>
    </row>
    <row r="200" spans="1:12" x14ac:dyDescent="0.25">
      <c r="A200" t="s">
        <v>117</v>
      </c>
      <c r="B200" t="s">
        <v>131</v>
      </c>
      <c r="C200" s="30" t="s">
        <v>132</v>
      </c>
      <c r="D200" s="12">
        <f>70000+68141</f>
        <v>138141</v>
      </c>
      <c r="E200" s="2"/>
      <c r="F200" s="37">
        <f t="shared" si="19"/>
        <v>2.0697999999999999</v>
      </c>
      <c r="G200" s="2"/>
      <c r="H200" s="12">
        <f t="shared" si="20"/>
        <v>93141</v>
      </c>
      <c r="I200" s="2"/>
      <c r="J200" s="12">
        <v>45000</v>
      </c>
      <c r="K200" s="2"/>
      <c r="L200" t="s">
        <v>433</v>
      </c>
    </row>
    <row r="201" spans="1:12" x14ac:dyDescent="0.25">
      <c r="A201" t="s">
        <v>117</v>
      </c>
      <c r="B201" t="s">
        <v>69</v>
      </c>
      <c r="C201" s="30" t="s">
        <v>70</v>
      </c>
      <c r="D201" s="12">
        <v>45000</v>
      </c>
      <c r="E201" s="2"/>
      <c r="F201" s="37">
        <f t="shared" si="19"/>
        <v>0.15666366790900912</v>
      </c>
      <c r="G201" s="2"/>
      <c r="H201" s="12">
        <f t="shared" si="20"/>
        <v>6095</v>
      </c>
      <c r="I201" s="2"/>
      <c r="J201" s="12">
        <v>38905</v>
      </c>
      <c r="K201" s="2"/>
      <c r="L201" t="s">
        <v>432</v>
      </c>
    </row>
    <row r="202" spans="1:12" x14ac:dyDescent="0.25">
      <c r="A202" t="s">
        <v>117</v>
      </c>
      <c r="B202" t="s">
        <v>133</v>
      </c>
      <c r="C202" s="30" t="s">
        <v>134</v>
      </c>
      <c r="D202" s="12">
        <v>23000</v>
      </c>
      <c r="E202" s="2"/>
      <c r="F202" s="37">
        <f t="shared" si="19"/>
        <v>0</v>
      </c>
      <c r="G202" s="2"/>
      <c r="H202" s="12">
        <f t="shared" si="20"/>
        <v>0</v>
      </c>
      <c r="I202" s="2"/>
      <c r="J202" s="12">
        <v>23000</v>
      </c>
      <c r="K202" s="2"/>
    </row>
    <row r="203" spans="1:12" x14ac:dyDescent="0.25">
      <c r="D203" s="2"/>
      <c r="E203" s="2"/>
      <c r="F203" s="2"/>
      <c r="G203" s="2"/>
      <c r="H203" s="2"/>
      <c r="I203" s="2"/>
      <c r="K203" s="2"/>
    </row>
    <row r="204" spans="1:12" x14ac:dyDescent="0.25">
      <c r="A204" t="s">
        <v>5</v>
      </c>
      <c r="B204" t="s">
        <v>5</v>
      </c>
      <c r="C204" s="1" t="s">
        <v>363</v>
      </c>
      <c r="D204" s="8">
        <f>SUM(D188:D202)</f>
        <v>349092</v>
      </c>
      <c r="E204" s="2"/>
      <c r="F204" s="15">
        <f>H204/J204</f>
        <v>0.32390285341545183</v>
      </c>
      <c r="G204" s="2"/>
      <c r="H204" s="8">
        <f>SUM(H188:H202)</f>
        <v>85408</v>
      </c>
      <c r="I204" s="2"/>
      <c r="J204" s="8">
        <f>SUM(J188:J202)</f>
        <v>263684</v>
      </c>
      <c r="K204" s="2"/>
    </row>
    <row r="205" spans="1:12" x14ac:dyDescent="0.25">
      <c r="D205" s="2"/>
      <c r="E205" s="2"/>
      <c r="F205" s="2"/>
      <c r="G205" s="2"/>
      <c r="H205" s="2"/>
      <c r="I205" s="2"/>
      <c r="K205" s="2"/>
    </row>
    <row r="206" spans="1:12" x14ac:dyDescent="0.25">
      <c r="A206" t="s">
        <v>5</v>
      </c>
      <c r="B206" t="s">
        <v>5</v>
      </c>
      <c r="C206" s="1" t="s">
        <v>406</v>
      </c>
      <c r="D206" s="17">
        <f>D204+D179+D172+D158+D139+D120+D103+D85+D60+D56+D45+D34+D14</f>
        <v>2527807</v>
      </c>
      <c r="E206" s="2"/>
      <c r="F206" s="27">
        <f>H206/J206</f>
        <v>0.16589487880316919</v>
      </c>
      <c r="G206" s="2"/>
      <c r="H206" s="17">
        <f>H204+H179+H172+H158+H139+H120+H103+H85+H60+H56+H45+H34+H14</f>
        <v>359681</v>
      </c>
      <c r="I206" s="2"/>
      <c r="J206" s="17">
        <f>J204+J179+J172+J158+J139+J120+J103+J85+J60+J56+J45+J34+J14</f>
        <v>2168126</v>
      </c>
      <c r="K206" s="2"/>
    </row>
    <row r="207" spans="1:12" x14ac:dyDescent="0.25">
      <c r="D207" s="2"/>
      <c r="E207" s="2"/>
      <c r="F207" s="2"/>
      <c r="G207" s="2"/>
      <c r="H207" s="2"/>
      <c r="I207" s="2"/>
      <c r="K207" s="2"/>
    </row>
    <row r="208" spans="1:12" x14ac:dyDescent="0.25">
      <c r="A208" t="s">
        <v>135</v>
      </c>
      <c r="B208" t="s">
        <v>57</v>
      </c>
      <c r="C208" t="s">
        <v>58</v>
      </c>
      <c r="D208" s="12">
        <f>ROUNDUP((5900.71),0)</f>
        <v>5901</v>
      </c>
      <c r="E208" s="2"/>
      <c r="F208" s="37">
        <f>H208/J208</f>
        <v>3.0022691569209285E-2</v>
      </c>
      <c r="G208" s="2"/>
      <c r="H208" s="12">
        <f>D208-J208</f>
        <v>172</v>
      </c>
      <c r="I208" s="2"/>
      <c r="J208" s="12">
        <v>5729</v>
      </c>
      <c r="K208" s="2"/>
    </row>
    <row r="209" spans="1:11" x14ac:dyDescent="0.25">
      <c r="A209" t="s">
        <v>135</v>
      </c>
      <c r="B209" t="s">
        <v>9</v>
      </c>
      <c r="C209" t="s">
        <v>10</v>
      </c>
      <c r="D209" s="12">
        <f>ROUNDUP((197.38),0)</f>
        <v>198</v>
      </c>
      <c r="E209" s="2"/>
      <c r="F209" s="37">
        <f>H209/J209</f>
        <v>7.0270270270270274E-2</v>
      </c>
      <c r="G209" s="2"/>
      <c r="H209" s="12">
        <f>D209-J209</f>
        <v>13</v>
      </c>
      <c r="I209" s="2"/>
      <c r="J209" s="12">
        <v>185</v>
      </c>
      <c r="K209" s="2"/>
    </row>
    <row r="210" spans="1:11" x14ac:dyDescent="0.25">
      <c r="A210" t="s">
        <v>135</v>
      </c>
      <c r="B210" t="s">
        <v>36</v>
      </c>
      <c r="C210" t="s">
        <v>37</v>
      </c>
      <c r="D210" s="12">
        <f>ROUNDUP((601.87),0)</f>
        <v>602</v>
      </c>
      <c r="E210" s="2"/>
      <c r="F210" s="37">
        <f>H210/J210</f>
        <v>3.0821917808219176E-2</v>
      </c>
      <c r="G210" s="2"/>
      <c r="H210" s="12">
        <f>D210-J210</f>
        <v>18</v>
      </c>
      <c r="I210" s="2"/>
      <c r="J210" s="12">
        <v>584</v>
      </c>
      <c r="K210" s="2"/>
    </row>
    <row r="211" spans="1:11" x14ac:dyDescent="0.25">
      <c r="A211" t="s">
        <v>135</v>
      </c>
      <c r="B211" t="s">
        <v>11</v>
      </c>
      <c r="C211" t="s">
        <v>12</v>
      </c>
      <c r="D211" s="12">
        <f>ROUNDUP((451.4),0)</f>
        <v>452</v>
      </c>
      <c r="E211" s="2"/>
      <c r="F211" s="37">
        <f>H211/J211</f>
        <v>3.1963470319634701E-2</v>
      </c>
      <c r="G211" s="2"/>
      <c r="H211" s="12">
        <f>D211-J211</f>
        <v>14</v>
      </c>
      <c r="I211" s="2"/>
      <c r="J211" s="12">
        <v>438</v>
      </c>
      <c r="K211" s="2"/>
    </row>
    <row r="212" spans="1:11" x14ac:dyDescent="0.25">
      <c r="A212" t="s">
        <v>135</v>
      </c>
      <c r="B212" t="s">
        <v>13</v>
      </c>
      <c r="C212" t="s">
        <v>14</v>
      </c>
      <c r="D212" s="12">
        <v>50</v>
      </c>
      <c r="E212" s="2"/>
      <c r="F212" s="37">
        <f>H212/J212</f>
        <v>0</v>
      </c>
      <c r="G212" s="2"/>
      <c r="H212" s="12">
        <f>D212-J212</f>
        <v>0</v>
      </c>
      <c r="I212" s="2"/>
      <c r="J212" s="12">
        <v>50</v>
      </c>
      <c r="K212" s="2"/>
    </row>
    <row r="213" spans="1:11" x14ac:dyDescent="0.25">
      <c r="D213" s="22"/>
      <c r="E213" s="2"/>
      <c r="F213" s="22"/>
      <c r="G213" s="2"/>
      <c r="H213" s="22"/>
      <c r="I213" s="2"/>
      <c r="K213" s="2"/>
    </row>
    <row r="214" spans="1:11" x14ac:dyDescent="0.25">
      <c r="A214" t="s">
        <v>5</v>
      </c>
      <c r="B214" t="s">
        <v>5</v>
      </c>
      <c r="C214" s="1" t="s">
        <v>364</v>
      </c>
      <c r="D214" s="8">
        <f>SUM(D208:D212)</f>
        <v>7203</v>
      </c>
      <c r="E214" s="2"/>
      <c r="F214" s="15">
        <f>H214/J214</f>
        <v>3.1062124248496994E-2</v>
      </c>
      <c r="G214" s="2"/>
      <c r="H214" s="8">
        <f>SUM(H208:H212)</f>
        <v>217</v>
      </c>
      <c r="I214" s="2"/>
      <c r="J214" s="8">
        <f>SUM(J208:J212)</f>
        <v>6986</v>
      </c>
      <c r="K214" s="2"/>
    </row>
    <row r="215" spans="1:11" x14ac:dyDescent="0.25">
      <c r="D215" s="2"/>
      <c r="E215" s="2"/>
      <c r="F215" s="2"/>
      <c r="G215" s="2"/>
      <c r="H215" s="2"/>
      <c r="I215" s="2"/>
      <c r="K215" s="2"/>
    </row>
    <row r="216" spans="1:11" ht="105" x14ac:dyDescent="0.25">
      <c r="A216" s="1" t="s">
        <v>0</v>
      </c>
      <c r="B216" s="1" t="s">
        <v>1</v>
      </c>
      <c r="C216" s="1" t="s">
        <v>2</v>
      </c>
      <c r="D216" s="5" t="s">
        <v>337</v>
      </c>
      <c r="E216" s="1"/>
      <c r="F216" s="5" t="s">
        <v>409</v>
      </c>
      <c r="G216" s="1"/>
      <c r="H216" s="5" t="s">
        <v>410</v>
      </c>
      <c r="I216" s="1"/>
      <c r="J216" s="4" t="s">
        <v>335</v>
      </c>
      <c r="K216" s="1"/>
    </row>
    <row r="217" spans="1:11" x14ac:dyDescent="0.25">
      <c r="A217" t="s">
        <v>136</v>
      </c>
      <c r="B217" t="s">
        <v>61</v>
      </c>
      <c r="C217" t="s">
        <v>62</v>
      </c>
      <c r="D217" s="47">
        <v>2500</v>
      </c>
      <c r="E217" s="2"/>
      <c r="F217" s="37">
        <f t="shared" ref="F217:F225" si="21">H217/J217</f>
        <v>0</v>
      </c>
      <c r="G217" s="2"/>
      <c r="H217" s="12">
        <f t="shared" ref="H217:H225" si="22">D217-J217</f>
        <v>0</v>
      </c>
      <c r="I217" s="2"/>
      <c r="J217" s="12">
        <v>2500</v>
      </c>
      <c r="K217" s="2"/>
    </row>
    <row r="218" spans="1:11" x14ac:dyDescent="0.25">
      <c r="A218" t="s">
        <v>136</v>
      </c>
      <c r="B218" t="s">
        <v>9</v>
      </c>
      <c r="C218" t="s">
        <v>10</v>
      </c>
      <c r="D218" s="47">
        <f>ROUNDUP((11.7),0)</f>
        <v>12</v>
      </c>
      <c r="E218" s="2"/>
      <c r="F218" s="37">
        <f t="shared" si="21"/>
        <v>-0.14285714285714285</v>
      </c>
      <c r="G218" s="2"/>
      <c r="H218" s="12">
        <f t="shared" si="22"/>
        <v>-2</v>
      </c>
      <c r="I218" s="2"/>
      <c r="J218" s="12">
        <v>14</v>
      </c>
      <c r="K218" s="2"/>
    </row>
    <row r="219" spans="1:11" x14ac:dyDescent="0.25">
      <c r="A219" t="s">
        <v>136</v>
      </c>
      <c r="B219" t="s">
        <v>36</v>
      </c>
      <c r="C219" t="s">
        <v>37</v>
      </c>
      <c r="D219" s="47">
        <f>ROUNDUP((255),0)</f>
        <v>255</v>
      </c>
      <c r="E219" s="2"/>
      <c r="F219" s="37">
        <f t="shared" si="21"/>
        <v>0</v>
      </c>
      <c r="G219" s="2"/>
      <c r="H219" s="12">
        <f t="shared" si="22"/>
        <v>0</v>
      </c>
      <c r="I219" s="2"/>
      <c r="J219" s="12">
        <v>255</v>
      </c>
      <c r="K219" s="2"/>
    </row>
    <row r="220" spans="1:11" x14ac:dyDescent="0.25">
      <c r="A220" t="s">
        <v>136</v>
      </c>
      <c r="B220" t="s">
        <v>11</v>
      </c>
      <c r="C220" t="s">
        <v>12</v>
      </c>
      <c r="D220" s="47">
        <f>ROUNDUP((191.25),0)</f>
        <v>192</v>
      </c>
      <c r="E220" s="2"/>
      <c r="F220" s="37">
        <f t="shared" si="21"/>
        <v>0</v>
      </c>
      <c r="G220" s="2"/>
      <c r="H220" s="12">
        <f t="shared" si="22"/>
        <v>0</v>
      </c>
      <c r="I220" s="2"/>
      <c r="J220" s="12">
        <v>192</v>
      </c>
      <c r="K220" s="2"/>
    </row>
    <row r="221" spans="1:11" x14ac:dyDescent="0.25">
      <c r="A221" t="s">
        <v>136</v>
      </c>
      <c r="B221" t="s">
        <v>13</v>
      </c>
      <c r="C221" t="s">
        <v>14</v>
      </c>
      <c r="D221" s="47">
        <v>800</v>
      </c>
      <c r="E221" s="2"/>
      <c r="F221" s="37">
        <f t="shared" si="21"/>
        <v>0</v>
      </c>
      <c r="G221" s="2"/>
      <c r="H221" s="12">
        <f t="shared" si="22"/>
        <v>0</v>
      </c>
      <c r="I221" s="2"/>
      <c r="J221" s="12">
        <v>800</v>
      </c>
      <c r="K221" s="2"/>
    </row>
    <row r="222" spans="1:11" x14ac:dyDescent="0.25">
      <c r="A222" t="s">
        <v>136</v>
      </c>
      <c r="B222" t="s">
        <v>19</v>
      </c>
      <c r="C222" t="s">
        <v>20</v>
      </c>
      <c r="D222" s="47">
        <v>100</v>
      </c>
      <c r="E222" s="2"/>
      <c r="F222" s="37">
        <f t="shared" si="21"/>
        <v>0</v>
      </c>
      <c r="G222" s="2"/>
      <c r="H222" s="12">
        <f t="shared" si="22"/>
        <v>0</v>
      </c>
      <c r="I222" s="2"/>
      <c r="J222" s="12">
        <v>100</v>
      </c>
      <c r="K222" s="2"/>
    </row>
    <row r="223" spans="1:11" x14ac:dyDescent="0.25">
      <c r="A223" t="s">
        <v>136</v>
      </c>
      <c r="B223" t="s">
        <v>40</v>
      </c>
      <c r="C223" t="s">
        <v>137</v>
      </c>
      <c r="D223" s="47">
        <v>365</v>
      </c>
      <c r="E223" s="2"/>
      <c r="F223" s="37">
        <f t="shared" si="21"/>
        <v>0</v>
      </c>
      <c r="G223" s="2"/>
      <c r="H223" s="12">
        <f t="shared" si="22"/>
        <v>0</v>
      </c>
      <c r="I223" s="2"/>
      <c r="J223" s="12">
        <v>365</v>
      </c>
      <c r="K223" s="2"/>
    </row>
    <row r="224" spans="1:11" x14ac:dyDescent="0.25">
      <c r="A224" t="s">
        <v>136</v>
      </c>
      <c r="B224" t="s">
        <v>23</v>
      </c>
      <c r="C224" t="s">
        <v>24</v>
      </c>
      <c r="D224" s="47">
        <v>800</v>
      </c>
      <c r="E224" s="2"/>
      <c r="F224" s="37">
        <f t="shared" si="21"/>
        <v>0</v>
      </c>
      <c r="G224" s="2"/>
      <c r="H224" s="12">
        <f t="shared" si="22"/>
        <v>0</v>
      </c>
      <c r="I224" s="2"/>
      <c r="J224" s="12">
        <v>800</v>
      </c>
      <c r="K224" s="2"/>
    </row>
    <row r="225" spans="1:12" x14ac:dyDescent="0.25">
      <c r="A225" t="s">
        <v>136</v>
      </c>
      <c r="B225" t="s">
        <v>138</v>
      </c>
      <c r="C225" t="s">
        <v>139</v>
      </c>
      <c r="D225" s="47">
        <v>40500</v>
      </c>
      <c r="E225" s="2"/>
      <c r="F225" s="37">
        <f t="shared" si="21"/>
        <v>0.35</v>
      </c>
      <c r="G225" s="2"/>
      <c r="H225" s="12">
        <f t="shared" si="22"/>
        <v>10500</v>
      </c>
      <c r="I225" s="2"/>
      <c r="J225" s="12">
        <v>30000</v>
      </c>
      <c r="K225" s="2"/>
      <c r="L225" t="s">
        <v>427</v>
      </c>
    </row>
    <row r="226" spans="1:12" x14ac:dyDescent="0.25">
      <c r="D226" s="2"/>
      <c r="E226" s="2"/>
      <c r="F226" s="2"/>
      <c r="G226" s="2"/>
      <c r="H226" s="2"/>
      <c r="I226" s="2"/>
      <c r="K226" s="2"/>
    </row>
    <row r="227" spans="1:12" x14ac:dyDescent="0.25">
      <c r="A227" t="s">
        <v>5</v>
      </c>
      <c r="B227" t="s">
        <v>5</v>
      </c>
      <c r="C227" s="1" t="s">
        <v>365</v>
      </c>
      <c r="D227" s="8">
        <f>SUM(D217:D225)</f>
        <v>45524</v>
      </c>
      <c r="E227" s="2"/>
      <c r="F227" s="15">
        <f>H227/J227</f>
        <v>0.29972020784560038</v>
      </c>
      <c r="G227" s="2"/>
      <c r="H227" s="8">
        <f>SUM(H217:H225)</f>
        <v>10498</v>
      </c>
      <c r="I227" s="2"/>
      <c r="J227" s="8">
        <f>SUM(J217:J225)</f>
        <v>35026</v>
      </c>
      <c r="K227" s="2"/>
    </row>
    <row r="228" spans="1:12" x14ac:dyDescent="0.25">
      <c r="D228" s="2"/>
      <c r="E228" s="2"/>
      <c r="F228" s="2"/>
      <c r="G228" s="2"/>
      <c r="H228" s="2"/>
      <c r="I228" s="2"/>
      <c r="K228" s="2"/>
    </row>
    <row r="229" spans="1:12" x14ac:dyDescent="0.25">
      <c r="A229" t="s">
        <v>140</v>
      </c>
      <c r="B229" t="s">
        <v>57</v>
      </c>
      <c r="C229" t="s">
        <v>58</v>
      </c>
      <c r="D229" s="47">
        <f>ROUNDUP((98143.34),0)</f>
        <v>98144</v>
      </c>
      <c r="E229" s="2"/>
      <c r="F229" s="37">
        <f t="shared" ref="F229:F265" si="23">H229/J229</f>
        <v>3.0004722674083013E-2</v>
      </c>
      <c r="G229" s="2"/>
      <c r="H229" s="12">
        <f t="shared" ref="H229:H265" si="24">D229-J229</f>
        <v>2859</v>
      </c>
      <c r="I229" s="2"/>
      <c r="J229" s="12">
        <v>95285</v>
      </c>
      <c r="K229" s="2"/>
      <c r="L229" t="s">
        <v>355</v>
      </c>
    </row>
    <row r="230" spans="1:12" x14ac:dyDescent="0.25">
      <c r="A230" t="s">
        <v>140</v>
      </c>
      <c r="B230" t="s">
        <v>30</v>
      </c>
      <c r="C230" t="s">
        <v>31</v>
      </c>
      <c r="D230" s="47">
        <f>ROUNDUP((1098056.83),0)</f>
        <v>1098057</v>
      </c>
      <c r="E230" s="2"/>
      <c r="F230" s="37">
        <f t="shared" si="23"/>
        <v>0.10811312662411383</v>
      </c>
      <c r="G230" s="2"/>
      <c r="H230" s="12">
        <f t="shared" si="24"/>
        <v>107132</v>
      </c>
      <c r="I230" s="2"/>
      <c r="J230" s="12">
        <v>990925</v>
      </c>
      <c r="K230" s="2"/>
      <c r="L230" t="s">
        <v>355</v>
      </c>
    </row>
    <row r="231" spans="1:12" x14ac:dyDescent="0.25">
      <c r="A231" t="s">
        <v>140</v>
      </c>
      <c r="B231" t="s">
        <v>32</v>
      </c>
      <c r="C231" t="s">
        <v>33</v>
      </c>
      <c r="D231" s="47">
        <f>ROUNDUP((53602.85),0)</f>
        <v>53603</v>
      </c>
      <c r="E231" s="2"/>
      <c r="F231" s="37">
        <f t="shared" si="23"/>
        <v>2.9995004035202336E-2</v>
      </c>
      <c r="G231" s="2"/>
      <c r="H231" s="12">
        <f t="shared" si="24"/>
        <v>1561</v>
      </c>
      <c r="I231" s="2"/>
      <c r="J231" s="12">
        <v>52042</v>
      </c>
      <c r="K231" s="2"/>
      <c r="L231" t="s">
        <v>355</v>
      </c>
    </row>
    <row r="232" spans="1:12" x14ac:dyDescent="0.25">
      <c r="A232" t="s">
        <v>140</v>
      </c>
      <c r="B232" t="s">
        <v>141</v>
      </c>
      <c r="C232" t="s">
        <v>142</v>
      </c>
      <c r="D232" s="47">
        <v>17000</v>
      </c>
      <c r="E232" s="2"/>
      <c r="F232" s="37">
        <f t="shared" si="23"/>
        <v>0</v>
      </c>
      <c r="G232" s="2"/>
      <c r="H232" s="12">
        <f t="shared" si="24"/>
        <v>0</v>
      </c>
      <c r="I232" s="2"/>
      <c r="J232" s="12">
        <v>17000</v>
      </c>
      <c r="K232" s="2"/>
    </row>
    <row r="233" spans="1:12" x14ac:dyDescent="0.25">
      <c r="A233" t="s">
        <v>140</v>
      </c>
      <c r="B233" t="s">
        <v>143</v>
      </c>
      <c r="C233" t="s">
        <v>144</v>
      </c>
      <c r="D233" s="47">
        <v>10000</v>
      </c>
      <c r="E233" s="2"/>
      <c r="F233" s="37">
        <f t="shared" si="23"/>
        <v>0.42857142857142855</v>
      </c>
      <c r="G233" s="2"/>
      <c r="H233" s="12">
        <f t="shared" si="24"/>
        <v>3000</v>
      </c>
      <c r="I233" s="2"/>
      <c r="J233" s="12">
        <v>7000</v>
      </c>
      <c r="K233" s="2"/>
    </row>
    <row r="234" spans="1:12" x14ac:dyDescent="0.25">
      <c r="A234" t="s">
        <v>140</v>
      </c>
      <c r="B234" t="s">
        <v>59</v>
      </c>
      <c r="C234" t="s">
        <v>60</v>
      </c>
      <c r="D234" s="47">
        <v>34994</v>
      </c>
      <c r="E234" s="2"/>
      <c r="F234" s="37">
        <f t="shared" si="23"/>
        <v>0</v>
      </c>
      <c r="G234" s="2"/>
      <c r="H234" s="12">
        <f t="shared" si="24"/>
        <v>0</v>
      </c>
      <c r="I234" s="2"/>
      <c r="J234" s="12">
        <v>34994</v>
      </c>
      <c r="K234" s="2"/>
    </row>
    <row r="235" spans="1:12" x14ac:dyDescent="0.25">
      <c r="A235" t="s">
        <v>140</v>
      </c>
      <c r="B235" t="s">
        <v>61</v>
      </c>
      <c r="C235" t="s">
        <v>62</v>
      </c>
      <c r="D235" s="47">
        <v>47704</v>
      </c>
      <c r="E235" s="2"/>
      <c r="F235" s="37">
        <f t="shared" si="23"/>
        <v>0.21076142131979694</v>
      </c>
      <c r="G235" s="2"/>
      <c r="H235" s="12">
        <f t="shared" si="24"/>
        <v>8304</v>
      </c>
      <c r="I235" s="2"/>
      <c r="J235" s="12">
        <v>39400</v>
      </c>
      <c r="K235" s="2"/>
    </row>
    <row r="236" spans="1:12" x14ac:dyDescent="0.25">
      <c r="A236" t="s">
        <v>140</v>
      </c>
      <c r="B236" t="s">
        <v>145</v>
      </c>
      <c r="C236" t="s">
        <v>146</v>
      </c>
      <c r="D236" s="47">
        <v>5000</v>
      </c>
      <c r="E236" s="2"/>
      <c r="F236" s="37">
        <f t="shared" si="23"/>
        <v>0</v>
      </c>
      <c r="G236" s="2"/>
      <c r="H236" s="12">
        <f t="shared" si="24"/>
        <v>0</v>
      </c>
      <c r="I236" s="2"/>
      <c r="J236" s="12">
        <v>5000</v>
      </c>
      <c r="K236" s="2"/>
    </row>
    <row r="237" spans="1:12" x14ac:dyDescent="0.25">
      <c r="A237" t="s">
        <v>140</v>
      </c>
      <c r="B237" t="s">
        <v>147</v>
      </c>
      <c r="C237" t="s">
        <v>148</v>
      </c>
      <c r="D237" s="47">
        <f>ROUNDUP((170178),0)</f>
        <v>170178</v>
      </c>
      <c r="E237" s="2"/>
      <c r="F237" s="37">
        <f t="shared" si="23"/>
        <v>0.18015256588072123</v>
      </c>
      <c r="G237" s="2"/>
      <c r="H237" s="12">
        <f t="shared" si="24"/>
        <v>25978</v>
      </c>
      <c r="I237" s="2"/>
      <c r="J237" s="12">
        <v>144200</v>
      </c>
      <c r="K237" s="2"/>
    </row>
    <row r="238" spans="1:12" x14ac:dyDescent="0.25">
      <c r="A238" t="s">
        <v>140</v>
      </c>
      <c r="B238" t="s">
        <v>34</v>
      </c>
      <c r="C238" t="s">
        <v>35</v>
      </c>
      <c r="D238" s="47">
        <f>ROUNDUP((1308.3),0)</f>
        <v>1309</v>
      </c>
      <c r="E238" s="2"/>
      <c r="F238" s="37">
        <f t="shared" si="23"/>
        <v>-0.21049457177322076</v>
      </c>
      <c r="G238" s="2"/>
      <c r="H238" s="12">
        <f t="shared" si="24"/>
        <v>-349</v>
      </c>
      <c r="I238" s="2"/>
      <c r="J238" s="12">
        <v>1658</v>
      </c>
      <c r="K238" s="2"/>
    </row>
    <row r="239" spans="1:12" x14ac:dyDescent="0.25">
      <c r="A239" t="s">
        <v>140</v>
      </c>
      <c r="B239" t="s">
        <v>9</v>
      </c>
      <c r="C239" t="s">
        <v>10</v>
      </c>
      <c r="D239" s="47">
        <f>ROUNDUP((74448.2),0)</f>
        <v>74449</v>
      </c>
      <c r="E239" s="2"/>
      <c r="F239" s="37">
        <f t="shared" si="23"/>
        <v>0.75301984977277547</v>
      </c>
      <c r="G239" s="2"/>
      <c r="H239" s="12">
        <f t="shared" si="24"/>
        <v>31980</v>
      </c>
      <c r="I239" s="2"/>
      <c r="J239" s="12">
        <v>42469</v>
      </c>
      <c r="K239" s="2"/>
    </row>
    <row r="240" spans="1:12" x14ac:dyDescent="0.25">
      <c r="A240" t="s">
        <v>140</v>
      </c>
      <c r="B240" t="s">
        <v>36</v>
      </c>
      <c r="C240" t="s">
        <v>37</v>
      </c>
      <c r="D240" s="47">
        <f>ROUNDUP((187114.65),0)</f>
        <v>187115</v>
      </c>
      <c r="E240" s="2"/>
      <c r="F240" s="37">
        <f t="shared" si="23"/>
        <v>6.5320367565844153E-2</v>
      </c>
      <c r="G240" s="2"/>
      <c r="H240" s="12">
        <f t="shared" si="24"/>
        <v>11473</v>
      </c>
      <c r="I240" s="2"/>
      <c r="J240" s="12">
        <v>175642</v>
      </c>
      <c r="K240" s="2"/>
    </row>
    <row r="241" spans="1:11" x14ac:dyDescent="0.25">
      <c r="A241" t="s">
        <v>140</v>
      </c>
      <c r="B241" t="s">
        <v>38</v>
      </c>
      <c r="C241" t="s">
        <v>39</v>
      </c>
      <c r="D241" s="47">
        <f>ROUNDUP((347579.6),0)</f>
        <v>347580</v>
      </c>
      <c r="E241" s="2"/>
      <c r="F241" s="37">
        <f t="shared" si="23"/>
        <v>0.10535856256956591</v>
      </c>
      <c r="G241" s="2"/>
      <c r="H241" s="12">
        <f t="shared" si="24"/>
        <v>33130</v>
      </c>
      <c r="I241" s="2"/>
      <c r="J241" s="12">
        <v>314450</v>
      </c>
      <c r="K241" s="2"/>
    </row>
    <row r="242" spans="1:11" x14ac:dyDescent="0.25">
      <c r="A242" t="s">
        <v>140</v>
      </c>
      <c r="B242" t="s">
        <v>11</v>
      </c>
      <c r="C242" t="s">
        <v>12</v>
      </c>
      <c r="D242" s="47">
        <f>ROUNDUP((116102.45),0)</f>
        <v>116103</v>
      </c>
      <c r="E242" s="2"/>
      <c r="F242" s="37">
        <f t="shared" si="23"/>
        <v>0.10873115157997269</v>
      </c>
      <c r="G242" s="2"/>
      <c r="H242" s="12">
        <f t="shared" si="24"/>
        <v>11386</v>
      </c>
      <c r="I242" s="2"/>
      <c r="J242" s="12">
        <v>104717</v>
      </c>
      <c r="K242" s="2"/>
    </row>
    <row r="243" spans="1:11" x14ac:dyDescent="0.25">
      <c r="A243" t="s">
        <v>140</v>
      </c>
      <c r="B243" t="s">
        <v>149</v>
      </c>
      <c r="C243" t="s">
        <v>150</v>
      </c>
      <c r="D243" s="47">
        <v>500</v>
      </c>
      <c r="E243" s="2"/>
      <c r="F243" s="37">
        <f t="shared" si="23"/>
        <v>0</v>
      </c>
      <c r="G243" s="2"/>
      <c r="H243" s="12">
        <f t="shared" si="24"/>
        <v>0</v>
      </c>
      <c r="I243" s="2"/>
      <c r="J243" s="12">
        <v>500</v>
      </c>
      <c r="K243" s="2"/>
    </row>
    <row r="244" spans="1:11" x14ac:dyDescent="0.25">
      <c r="A244" t="s">
        <v>140</v>
      </c>
      <c r="B244" t="s">
        <v>13</v>
      </c>
      <c r="C244" t="s">
        <v>14</v>
      </c>
      <c r="D244" s="47">
        <v>5150</v>
      </c>
      <c r="E244" s="2"/>
      <c r="F244" s="37">
        <f t="shared" si="23"/>
        <v>0</v>
      </c>
      <c r="G244" s="2"/>
      <c r="H244" s="12">
        <f t="shared" si="24"/>
        <v>0</v>
      </c>
      <c r="I244" s="2"/>
      <c r="J244" s="12">
        <v>5150</v>
      </c>
      <c r="K244" s="2"/>
    </row>
    <row r="245" spans="1:11" x14ac:dyDescent="0.25">
      <c r="A245" t="s">
        <v>140</v>
      </c>
      <c r="B245" t="s">
        <v>15</v>
      </c>
      <c r="C245" t="s">
        <v>16</v>
      </c>
      <c r="D245" s="47">
        <v>17000</v>
      </c>
      <c r="E245" s="2"/>
      <c r="F245" s="37">
        <f t="shared" si="23"/>
        <v>0.21428571428571427</v>
      </c>
      <c r="G245" s="2"/>
      <c r="H245" s="12">
        <f t="shared" si="24"/>
        <v>3000</v>
      </c>
      <c r="I245" s="2"/>
      <c r="J245" s="12">
        <v>14000</v>
      </c>
      <c r="K245" s="2"/>
    </row>
    <row r="246" spans="1:11" x14ac:dyDescent="0.25">
      <c r="A246" t="s">
        <v>140</v>
      </c>
      <c r="B246" t="s">
        <v>19</v>
      </c>
      <c r="C246" t="s">
        <v>20</v>
      </c>
      <c r="D246" s="47">
        <v>300</v>
      </c>
      <c r="E246" s="2"/>
      <c r="F246" s="37">
        <f t="shared" si="23"/>
        <v>-0.14285714285714285</v>
      </c>
      <c r="G246" s="2"/>
      <c r="H246" s="12">
        <f t="shared" si="24"/>
        <v>-50</v>
      </c>
      <c r="I246" s="2"/>
      <c r="J246" s="12">
        <v>350</v>
      </c>
      <c r="K246" s="2"/>
    </row>
    <row r="247" spans="1:11" x14ac:dyDescent="0.25">
      <c r="A247" t="s">
        <v>140</v>
      </c>
      <c r="B247" t="s">
        <v>21</v>
      </c>
      <c r="C247" t="s">
        <v>22</v>
      </c>
      <c r="D247" s="47">
        <v>200</v>
      </c>
      <c r="E247" s="2"/>
      <c r="F247" s="37">
        <f t="shared" si="23"/>
        <v>0</v>
      </c>
      <c r="G247" s="2"/>
      <c r="H247" s="12">
        <f t="shared" si="24"/>
        <v>0</v>
      </c>
      <c r="I247" s="2"/>
      <c r="J247" s="12">
        <v>200</v>
      </c>
      <c r="K247" s="2"/>
    </row>
    <row r="248" spans="1:11" x14ac:dyDescent="0.25">
      <c r="A248" t="s">
        <v>140</v>
      </c>
      <c r="B248" t="s">
        <v>63</v>
      </c>
      <c r="C248" t="s">
        <v>64</v>
      </c>
      <c r="D248" s="47">
        <v>3400</v>
      </c>
      <c r="E248" s="2"/>
      <c r="F248" s="37">
        <f t="shared" si="23"/>
        <v>0.30769230769230771</v>
      </c>
      <c r="G248" s="2"/>
      <c r="H248" s="12">
        <f t="shared" si="24"/>
        <v>800</v>
      </c>
      <c r="I248" s="2"/>
      <c r="J248" s="12">
        <v>2600</v>
      </c>
      <c r="K248" s="2"/>
    </row>
    <row r="249" spans="1:11" x14ac:dyDescent="0.25">
      <c r="A249" t="s">
        <v>140</v>
      </c>
      <c r="B249" t="s">
        <v>151</v>
      </c>
      <c r="C249" t="s">
        <v>152</v>
      </c>
      <c r="D249" s="47">
        <v>1750</v>
      </c>
      <c r="E249" s="2"/>
      <c r="F249" s="37">
        <f t="shared" si="23"/>
        <v>0</v>
      </c>
      <c r="G249" s="2"/>
      <c r="H249" s="12">
        <f t="shared" si="24"/>
        <v>0</v>
      </c>
      <c r="I249" s="2"/>
      <c r="J249" s="12">
        <v>1750</v>
      </c>
      <c r="K249" s="2"/>
    </row>
    <row r="250" spans="1:11" x14ac:dyDescent="0.25">
      <c r="A250" t="s">
        <v>140</v>
      </c>
      <c r="B250" t="s">
        <v>153</v>
      </c>
      <c r="C250" t="s">
        <v>154</v>
      </c>
      <c r="D250" s="47">
        <v>21800</v>
      </c>
      <c r="E250" s="2"/>
      <c r="F250" s="37">
        <f t="shared" si="23"/>
        <v>0.12371134020618557</v>
      </c>
      <c r="G250" s="2"/>
      <c r="H250" s="12">
        <f t="shared" si="24"/>
        <v>2400</v>
      </c>
      <c r="I250" s="2"/>
      <c r="J250" s="12">
        <v>19400</v>
      </c>
      <c r="K250" s="2"/>
    </row>
    <row r="251" spans="1:11" x14ac:dyDescent="0.25">
      <c r="A251" t="s">
        <v>140</v>
      </c>
      <c r="B251" t="s">
        <v>40</v>
      </c>
      <c r="C251" t="s">
        <v>41</v>
      </c>
      <c r="D251" s="47">
        <v>6634</v>
      </c>
      <c r="E251" s="2"/>
      <c r="F251" s="37">
        <f t="shared" si="23"/>
        <v>5.7379662097545428E-2</v>
      </c>
      <c r="G251" s="2"/>
      <c r="H251" s="12">
        <f t="shared" si="24"/>
        <v>360</v>
      </c>
      <c r="I251" s="2"/>
      <c r="J251" s="12">
        <v>6274</v>
      </c>
      <c r="K251" s="2"/>
    </row>
    <row r="252" spans="1:11" x14ac:dyDescent="0.25">
      <c r="A252" t="s">
        <v>140</v>
      </c>
      <c r="B252" t="s">
        <v>155</v>
      </c>
      <c r="C252" t="s">
        <v>156</v>
      </c>
      <c r="D252" s="47">
        <v>1900</v>
      </c>
      <c r="E252" s="2"/>
      <c r="F252" s="37">
        <f t="shared" si="23"/>
        <v>0</v>
      </c>
      <c r="G252" s="2"/>
      <c r="H252" s="12">
        <f t="shared" si="24"/>
        <v>0</v>
      </c>
      <c r="I252" s="2"/>
      <c r="J252" s="12">
        <v>1900</v>
      </c>
      <c r="K252" s="2"/>
    </row>
    <row r="253" spans="1:11" ht="105" x14ac:dyDescent="0.25">
      <c r="A253" s="1" t="s">
        <v>0</v>
      </c>
      <c r="B253" s="1" t="s">
        <v>1</v>
      </c>
      <c r="C253" s="1" t="s">
        <v>2</v>
      </c>
      <c r="D253" s="5" t="s">
        <v>337</v>
      </c>
      <c r="E253" s="1"/>
      <c r="F253" s="5" t="s">
        <v>409</v>
      </c>
      <c r="G253" s="1"/>
      <c r="H253" s="5" t="s">
        <v>410</v>
      </c>
      <c r="I253" s="1"/>
      <c r="J253" s="4" t="s">
        <v>335</v>
      </c>
      <c r="K253" s="1"/>
    </row>
    <row r="254" spans="1:11" x14ac:dyDescent="0.25">
      <c r="A254" t="s">
        <v>140</v>
      </c>
      <c r="B254" t="s">
        <v>85</v>
      </c>
      <c r="C254" t="s">
        <v>86</v>
      </c>
      <c r="D254" s="47">
        <v>33775</v>
      </c>
      <c r="E254" s="2"/>
      <c r="F254" s="37">
        <f t="shared" si="23"/>
        <v>-0.10589013898080742</v>
      </c>
      <c r="G254" s="2"/>
      <c r="H254" s="12">
        <f t="shared" si="24"/>
        <v>-4000</v>
      </c>
      <c r="I254" s="2"/>
      <c r="J254" s="12">
        <v>37775</v>
      </c>
      <c r="K254" s="2"/>
    </row>
    <row r="255" spans="1:11" x14ac:dyDescent="0.25">
      <c r="A255" t="s">
        <v>140</v>
      </c>
      <c r="B255" t="s">
        <v>157</v>
      </c>
      <c r="C255" t="s">
        <v>158</v>
      </c>
      <c r="D255" s="47">
        <v>234</v>
      </c>
      <c r="E255" s="2"/>
      <c r="F255" s="37">
        <f t="shared" si="23"/>
        <v>0</v>
      </c>
      <c r="G255" s="2"/>
      <c r="H255" s="12">
        <f t="shared" si="24"/>
        <v>0</v>
      </c>
      <c r="I255" s="2"/>
      <c r="J255" s="12">
        <v>234</v>
      </c>
      <c r="K255" s="2"/>
    </row>
    <row r="256" spans="1:11" x14ac:dyDescent="0.25">
      <c r="A256" t="s">
        <v>140</v>
      </c>
      <c r="B256" t="s">
        <v>159</v>
      </c>
      <c r="C256" t="s">
        <v>160</v>
      </c>
      <c r="D256" s="47">
        <v>6628</v>
      </c>
      <c r="E256" s="2"/>
      <c r="F256" s="37">
        <f t="shared" si="23"/>
        <v>0.29251170046801872</v>
      </c>
      <c r="G256" s="2"/>
      <c r="H256" s="12">
        <f t="shared" si="24"/>
        <v>1500</v>
      </c>
      <c r="I256" s="2"/>
      <c r="J256" s="12">
        <v>5128</v>
      </c>
      <c r="K256" s="2"/>
    </row>
    <row r="257" spans="1:12" x14ac:dyDescent="0.25">
      <c r="A257" t="s">
        <v>140</v>
      </c>
      <c r="B257" t="s">
        <v>23</v>
      </c>
      <c r="C257" t="s">
        <v>24</v>
      </c>
      <c r="D257" s="47">
        <v>18000</v>
      </c>
      <c r="E257" s="2"/>
      <c r="F257" s="37">
        <f t="shared" si="23"/>
        <v>0.13307314616643587</v>
      </c>
      <c r="G257" s="2"/>
      <c r="H257" s="12">
        <f t="shared" si="24"/>
        <v>2114</v>
      </c>
      <c r="I257" s="2"/>
      <c r="J257" s="12">
        <v>15886</v>
      </c>
      <c r="K257" s="2"/>
    </row>
    <row r="258" spans="1:12" x14ac:dyDescent="0.25">
      <c r="A258" t="s">
        <v>140</v>
      </c>
      <c r="B258" t="s">
        <v>44</v>
      </c>
      <c r="C258" t="s">
        <v>45</v>
      </c>
      <c r="D258" s="47">
        <v>450</v>
      </c>
      <c r="E258" s="2"/>
      <c r="F258" s="37">
        <f t="shared" si="23"/>
        <v>0</v>
      </c>
      <c r="G258" s="2"/>
      <c r="H258" s="12">
        <f t="shared" si="24"/>
        <v>0</v>
      </c>
      <c r="I258" s="2"/>
      <c r="J258" s="12">
        <v>450</v>
      </c>
      <c r="K258" s="2"/>
    </row>
    <row r="259" spans="1:12" x14ac:dyDescent="0.25">
      <c r="A259" t="s">
        <v>140</v>
      </c>
      <c r="B259" t="s">
        <v>161</v>
      </c>
      <c r="C259" t="s">
        <v>162</v>
      </c>
      <c r="D259" s="47">
        <v>2608</v>
      </c>
      <c r="E259" s="2"/>
      <c r="F259" s="37">
        <f t="shared" si="23"/>
        <v>0</v>
      </c>
      <c r="G259" s="2"/>
      <c r="H259" s="12">
        <f t="shared" si="24"/>
        <v>0</v>
      </c>
      <c r="I259" s="2"/>
      <c r="J259" s="12">
        <v>2608</v>
      </c>
      <c r="K259" s="2"/>
    </row>
    <row r="260" spans="1:12" x14ac:dyDescent="0.25">
      <c r="A260" t="s">
        <v>140</v>
      </c>
      <c r="B260" t="s">
        <v>87</v>
      </c>
      <c r="C260" t="s">
        <v>88</v>
      </c>
      <c r="D260" s="47">
        <v>13000</v>
      </c>
      <c r="E260" s="2"/>
      <c r="F260" s="37">
        <f t="shared" si="23"/>
        <v>0</v>
      </c>
      <c r="G260" s="2"/>
      <c r="H260" s="12">
        <f t="shared" si="24"/>
        <v>0</v>
      </c>
      <c r="I260" s="2"/>
      <c r="J260" s="12">
        <v>13000</v>
      </c>
      <c r="K260" s="2"/>
    </row>
    <row r="261" spans="1:12" x14ac:dyDescent="0.25">
      <c r="A261" t="s">
        <v>140</v>
      </c>
      <c r="B261" t="s">
        <v>123</v>
      </c>
      <c r="C261" t="s">
        <v>124</v>
      </c>
      <c r="D261" s="47">
        <v>7768</v>
      </c>
      <c r="E261" s="2"/>
      <c r="F261" s="37">
        <f t="shared" si="23"/>
        <v>0</v>
      </c>
      <c r="G261" s="2"/>
      <c r="H261" s="12">
        <f t="shared" si="24"/>
        <v>0</v>
      </c>
      <c r="I261" s="2"/>
      <c r="J261" s="12">
        <v>7768</v>
      </c>
      <c r="K261" s="2"/>
    </row>
    <row r="262" spans="1:12" x14ac:dyDescent="0.25">
      <c r="A262" t="s">
        <v>140</v>
      </c>
      <c r="B262" t="s">
        <v>163</v>
      </c>
      <c r="C262" t="s">
        <v>164</v>
      </c>
      <c r="D262" s="47">
        <v>2000</v>
      </c>
      <c r="E262" s="2"/>
      <c r="F262" s="37">
        <f t="shared" si="23"/>
        <v>0</v>
      </c>
      <c r="G262" s="2"/>
      <c r="H262" s="12">
        <f t="shared" si="24"/>
        <v>0</v>
      </c>
      <c r="I262" s="2"/>
      <c r="J262" s="12">
        <v>2000</v>
      </c>
      <c r="K262" s="2"/>
    </row>
    <row r="263" spans="1:12" x14ac:dyDescent="0.25">
      <c r="A263" t="s">
        <v>140</v>
      </c>
      <c r="B263" t="s">
        <v>69</v>
      </c>
      <c r="C263" t="s">
        <v>70</v>
      </c>
      <c r="D263" s="47">
        <v>5500</v>
      </c>
      <c r="E263" s="2"/>
      <c r="F263" s="37">
        <f t="shared" si="23"/>
        <v>0</v>
      </c>
      <c r="G263" s="2"/>
      <c r="H263" s="12">
        <f t="shared" si="24"/>
        <v>0</v>
      </c>
      <c r="I263" s="2"/>
      <c r="J263" s="12">
        <v>5500</v>
      </c>
      <c r="K263" s="2"/>
    </row>
    <row r="264" spans="1:12" x14ac:dyDescent="0.25">
      <c r="A264" t="s">
        <v>140</v>
      </c>
      <c r="B264" t="s">
        <v>71</v>
      </c>
      <c r="C264" t="s">
        <v>72</v>
      </c>
      <c r="D264" s="47">
        <f>23750-5000</f>
        <v>18750</v>
      </c>
      <c r="E264" s="2"/>
      <c r="F264" s="37">
        <f t="shared" si="23"/>
        <v>4</v>
      </c>
      <c r="G264" s="2"/>
      <c r="H264" s="12">
        <f t="shared" si="24"/>
        <v>15000</v>
      </c>
      <c r="I264" s="2"/>
      <c r="J264" s="12">
        <v>3750</v>
      </c>
      <c r="K264" s="2"/>
      <c r="L264" t="s">
        <v>428</v>
      </c>
    </row>
    <row r="265" spans="1:12" x14ac:dyDescent="0.25">
      <c r="A265" t="s">
        <v>140</v>
      </c>
      <c r="B265" t="s">
        <v>165</v>
      </c>
      <c r="C265" t="s">
        <v>166</v>
      </c>
      <c r="D265" s="47">
        <f>115000-25000</f>
        <v>90000</v>
      </c>
      <c r="E265" s="2"/>
      <c r="F265" s="37">
        <f t="shared" si="23"/>
        <v>0.34328358208955223</v>
      </c>
      <c r="G265" s="2"/>
      <c r="H265" s="12">
        <f t="shared" si="24"/>
        <v>23000</v>
      </c>
      <c r="I265" s="2"/>
      <c r="J265" s="12">
        <v>67000</v>
      </c>
      <c r="K265" s="2"/>
      <c r="L265" t="s">
        <v>423</v>
      </c>
    </row>
    <row r="266" spans="1:12" x14ac:dyDescent="0.25">
      <c r="D266" s="2"/>
      <c r="E266" s="2"/>
      <c r="F266" s="2"/>
      <c r="G266" s="2"/>
      <c r="H266" s="2"/>
      <c r="I266" s="2"/>
      <c r="K266" s="2"/>
    </row>
    <row r="267" spans="1:12" x14ac:dyDescent="0.25">
      <c r="A267" t="s">
        <v>5</v>
      </c>
      <c r="B267" t="s">
        <v>5</v>
      </c>
      <c r="C267" s="1" t="s">
        <v>366</v>
      </c>
      <c r="D267" s="8">
        <f>SUM(D229:D265)</f>
        <v>2518583</v>
      </c>
      <c r="E267" s="2"/>
      <c r="F267" s="15">
        <f>H267/J267</f>
        <v>0.12536969309720042</v>
      </c>
      <c r="G267" s="2"/>
      <c r="H267" s="8">
        <f>SUM(H229:H265)</f>
        <v>280578</v>
      </c>
      <c r="I267" s="2"/>
      <c r="J267" s="8">
        <f>SUM(J229:J265)</f>
        <v>2238005</v>
      </c>
      <c r="K267" s="2"/>
    </row>
    <row r="268" spans="1:12" x14ac:dyDescent="0.25">
      <c r="D268" s="2"/>
      <c r="E268" s="2"/>
      <c r="F268" s="2"/>
      <c r="G268" s="2"/>
      <c r="H268" s="2"/>
      <c r="I268" s="2"/>
      <c r="K268" s="2"/>
    </row>
    <row r="269" spans="1:12" x14ac:dyDescent="0.25">
      <c r="A269" t="s">
        <v>167</v>
      </c>
      <c r="B269" t="s">
        <v>57</v>
      </c>
      <c r="C269" t="s">
        <v>58</v>
      </c>
      <c r="D269" s="47">
        <f>ROUNDUP((95231.14),0)</f>
        <v>95232</v>
      </c>
      <c r="E269" s="2"/>
      <c r="F269" s="37">
        <f t="shared" ref="F269:F300" si="25">H269/J269</f>
        <v>8.6552723455719599E-2</v>
      </c>
      <c r="G269" s="2"/>
      <c r="H269" s="12">
        <f t="shared" ref="H269:H300" si="26">D269-J269</f>
        <v>7586</v>
      </c>
      <c r="I269" s="2"/>
      <c r="J269" s="12">
        <v>87646</v>
      </c>
      <c r="K269" s="2"/>
      <c r="L269" t="s">
        <v>355</v>
      </c>
    </row>
    <row r="270" spans="1:12" x14ac:dyDescent="0.25">
      <c r="A270" t="s">
        <v>167</v>
      </c>
      <c r="B270" t="s">
        <v>30</v>
      </c>
      <c r="C270" t="s">
        <v>31</v>
      </c>
      <c r="D270" s="47">
        <f>ROUNDUP((198775.67),0)</f>
        <v>198776</v>
      </c>
      <c r="E270" s="2"/>
      <c r="F270" s="37">
        <f t="shared" si="25"/>
        <v>1.1892835508563246</v>
      </c>
      <c r="G270" s="2"/>
      <c r="H270" s="12">
        <f t="shared" si="26"/>
        <v>107981</v>
      </c>
      <c r="I270" s="2"/>
      <c r="J270" s="12">
        <v>90795</v>
      </c>
      <c r="K270" s="2"/>
      <c r="L270" t="s">
        <v>369</v>
      </c>
    </row>
    <row r="271" spans="1:12" x14ac:dyDescent="0.25">
      <c r="A271" t="s">
        <v>167</v>
      </c>
      <c r="B271" t="s">
        <v>59</v>
      </c>
      <c r="C271" t="s">
        <v>168</v>
      </c>
      <c r="D271" s="47">
        <f>ROUNDUP((208525.3),0)</f>
        <v>208526</v>
      </c>
      <c r="E271" s="2"/>
      <c r="F271" s="37">
        <f t="shared" si="25"/>
        <v>0.13867744225413642</v>
      </c>
      <c r="G271" s="2"/>
      <c r="H271" s="12">
        <f t="shared" si="26"/>
        <v>25396</v>
      </c>
      <c r="I271" s="2"/>
      <c r="J271" s="12">
        <v>183130</v>
      </c>
      <c r="K271" s="2"/>
    </row>
    <row r="272" spans="1:12" x14ac:dyDescent="0.25">
      <c r="A272" t="s">
        <v>167</v>
      </c>
      <c r="B272" t="s">
        <v>34</v>
      </c>
      <c r="C272" t="s">
        <v>35</v>
      </c>
      <c r="D272" s="47">
        <f>ROUNDUP((1252.8),0)</f>
        <v>1253</v>
      </c>
      <c r="E272" s="2"/>
      <c r="F272" s="37">
        <f t="shared" si="25"/>
        <v>0.25803212851405621</v>
      </c>
      <c r="G272" s="2"/>
      <c r="H272" s="12">
        <f t="shared" si="26"/>
        <v>257</v>
      </c>
      <c r="I272" s="2"/>
      <c r="J272" s="12">
        <v>996</v>
      </c>
      <c r="K272" s="2"/>
    </row>
    <row r="273" spans="1:12" x14ac:dyDescent="0.25">
      <c r="A273" t="s">
        <v>167</v>
      </c>
      <c r="B273" t="s">
        <v>9</v>
      </c>
      <c r="C273" t="s">
        <v>10</v>
      </c>
      <c r="D273" s="47">
        <f>ROUNDUP((68527.71),0)</f>
        <v>68528</v>
      </c>
      <c r="E273" s="2"/>
      <c r="F273" s="37">
        <f t="shared" si="25"/>
        <v>2.7652747252747254</v>
      </c>
      <c r="G273" s="2"/>
      <c r="H273" s="12">
        <f t="shared" si="26"/>
        <v>50328</v>
      </c>
      <c r="I273" s="2"/>
      <c r="J273" s="12">
        <v>18200</v>
      </c>
      <c r="K273" s="2"/>
    </row>
    <row r="274" spans="1:12" x14ac:dyDescent="0.25">
      <c r="A274" t="s">
        <v>167</v>
      </c>
      <c r="B274" t="s">
        <v>36</v>
      </c>
      <c r="C274" t="s">
        <v>37</v>
      </c>
      <c r="D274" s="47">
        <f>ROUNDUP((37632.87),0)</f>
        <v>37633</v>
      </c>
      <c r="E274" s="2"/>
      <c r="F274" s="37">
        <f t="shared" si="25"/>
        <v>0.57387813140395638</v>
      </c>
      <c r="G274" s="2"/>
      <c r="H274" s="12">
        <f t="shared" si="26"/>
        <v>13722</v>
      </c>
      <c r="I274" s="2"/>
      <c r="J274" s="12">
        <v>23911</v>
      </c>
      <c r="K274" s="2"/>
    </row>
    <row r="275" spans="1:12" x14ac:dyDescent="0.25">
      <c r="A275" t="s">
        <v>167</v>
      </c>
      <c r="B275" t="s">
        <v>38</v>
      </c>
      <c r="C275" t="s">
        <v>39</v>
      </c>
      <c r="D275" s="47">
        <f>ROUNDUP((96792.28),0)</f>
        <v>96793</v>
      </c>
      <c r="E275" s="2"/>
      <c r="F275" s="37">
        <f t="shared" si="25"/>
        <v>0.83177835392971367</v>
      </c>
      <c r="G275" s="2"/>
      <c r="H275" s="12">
        <f t="shared" si="26"/>
        <v>43952</v>
      </c>
      <c r="I275" s="2"/>
      <c r="J275" s="12">
        <v>52841</v>
      </c>
      <c r="K275" s="2"/>
    </row>
    <row r="276" spans="1:12" x14ac:dyDescent="0.25">
      <c r="A276" t="s">
        <v>167</v>
      </c>
      <c r="B276" t="s">
        <v>11</v>
      </c>
      <c r="C276" t="s">
        <v>12</v>
      </c>
      <c r="D276" s="47">
        <f>ROUNDUP((38443.71),0)</f>
        <v>38444</v>
      </c>
      <c r="E276" s="2"/>
      <c r="F276" s="37">
        <f t="shared" si="25"/>
        <v>0.38987707881417211</v>
      </c>
      <c r="G276" s="2"/>
      <c r="H276" s="12">
        <f t="shared" si="26"/>
        <v>10784</v>
      </c>
      <c r="I276" s="2"/>
      <c r="J276" s="12">
        <v>27660</v>
      </c>
      <c r="K276" s="2"/>
    </row>
    <row r="277" spans="1:12" x14ac:dyDescent="0.25">
      <c r="A277" t="s">
        <v>167</v>
      </c>
      <c r="B277" t="s">
        <v>13</v>
      </c>
      <c r="C277" t="s">
        <v>14</v>
      </c>
      <c r="D277" s="47">
        <v>500</v>
      </c>
      <c r="E277" s="2"/>
      <c r="F277" s="37">
        <f t="shared" si="25"/>
        <v>0</v>
      </c>
      <c r="G277" s="2"/>
      <c r="H277" s="12">
        <f t="shared" si="26"/>
        <v>0</v>
      </c>
      <c r="I277" s="2"/>
      <c r="J277" s="12">
        <v>500</v>
      </c>
      <c r="K277" s="2"/>
    </row>
    <row r="278" spans="1:12" x14ac:dyDescent="0.25">
      <c r="A278" t="s">
        <v>167</v>
      </c>
      <c r="B278" t="s">
        <v>15</v>
      </c>
      <c r="C278" t="s">
        <v>16</v>
      </c>
      <c r="D278" s="47">
        <v>9000</v>
      </c>
      <c r="E278" s="2"/>
      <c r="F278" s="37">
        <f t="shared" si="25"/>
        <v>0</v>
      </c>
      <c r="G278" s="2"/>
      <c r="H278" s="12">
        <f t="shared" si="26"/>
        <v>0</v>
      </c>
      <c r="I278" s="2"/>
      <c r="J278" s="12">
        <v>9000</v>
      </c>
      <c r="K278" s="2"/>
    </row>
    <row r="279" spans="1:12" x14ac:dyDescent="0.25">
      <c r="A279" t="s">
        <v>167</v>
      </c>
      <c r="B279" t="s">
        <v>19</v>
      </c>
      <c r="C279" t="s">
        <v>20</v>
      </c>
      <c r="D279" s="47">
        <v>75</v>
      </c>
      <c r="E279" s="2"/>
      <c r="F279" s="37">
        <f t="shared" si="25"/>
        <v>0</v>
      </c>
      <c r="G279" s="2"/>
      <c r="H279" s="12">
        <f t="shared" si="26"/>
        <v>0</v>
      </c>
      <c r="I279" s="2"/>
      <c r="J279" s="12">
        <v>75</v>
      </c>
      <c r="K279" s="2"/>
    </row>
    <row r="280" spans="1:12" x14ac:dyDescent="0.25">
      <c r="A280" t="s">
        <v>167</v>
      </c>
      <c r="B280" t="s">
        <v>153</v>
      </c>
      <c r="C280" t="s">
        <v>154</v>
      </c>
      <c r="D280" s="47">
        <v>6000</v>
      </c>
      <c r="E280" s="2"/>
      <c r="F280" s="37">
        <f t="shared" si="25"/>
        <v>0.5</v>
      </c>
      <c r="G280" s="2"/>
      <c r="H280" s="12">
        <f t="shared" si="26"/>
        <v>2000</v>
      </c>
      <c r="I280" s="2"/>
      <c r="J280" s="12">
        <v>4000</v>
      </c>
      <c r="K280" s="2"/>
      <c r="L280" t="s">
        <v>370</v>
      </c>
    </row>
    <row r="281" spans="1:12" x14ac:dyDescent="0.25">
      <c r="A281" t="s">
        <v>167</v>
      </c>
      <c r="B281" t="s">
        <v>40</v>
      </c>
      <c r="C281" t="s">
        <v>41</v>
      </c>
      <c r="D281" s="47">
        <v>420</v>
      </c>
      <c r="E281" s="2"/>
      <c r="F281" s="37">
        <f t="shared" si="25"/>
        <v>0</v>
      </c>
      <c r="G281" s="2"/>
      <c r="H281" s="12">
        <f t="shared" si="26"/>
        <v>0</v>
      </c>
      <c r="I281" s="2"/>
      <c r="J281" s="12">
        <v>420</v>
      </c>
      <c r="K281" s="2"/>
    </row>
    <row r="282" spans="1:12" x14ac:dyDescent="0.25">
      <c r="A282" t="s">
        <v>167</v>
      </c>
      <c r="B282" t="s">
        <v>155</v>
      </c>
      <c r="C282" t="s">
        <v>156</v>
      </c>
      <c r="D282" s="47">
        <v>5000</v>
      </c>
      <c r="E282" s="2"/>
      <c r="F282" s="37">
        <f t="shared" si="25"/>
        <v>0</v>
      </c>
      <c r="G282" s="2"/>
      <c r="H282" s="12">
        <f t="shared" si="26"/>
        <v>0</v>
      </c>
      <c r="I282" s="2"/>
      <c r="J282" s="12">
        <v>5000</v>
      </c>
      <c r="K282" s="2"/>
    </row>
    <row r="283" spans="1:12" x14ac:dyDescent="0.25">
      <c r="A283" t="s">
        <v>167</v>
      </c>
      <c r="B283" t="s">
        <v>169</v>
      </c>
      <c r="C283" t="s">
        <v>170</v>
      </c>
      <c r="D283" s="47">
        <v>6200</v>
      </c>
      <c r="E283" s="2"/>
      <c r="F283" s="37">
        <f t="shared" si="25"/>
        <v>0</v>
      </c>
      <c r="G283" s="2"/>
      <c r="H283" s="12">
        <f t="shared" si="26"/>
        <v>0</v>
      </c>
      <c r="I283" s="2"/>
      <c r="J283" s="12">
        <v>6200</v>
      </c>
      <c r="K283" s="2"/>
    </row>
    <row r="284" spans="1:12" x14ac:dyDescent="0.25">
      <c r="A284" t="s">
        <v>167</v>
      </c>
      <c r="B284" t="s">
        <v>85</v>
      </c>
      <c r="C284" t="s">
        <v>86</v>
      </c>
      <c r="D284" s="47">
        <v>2400</v>
      </c>
      <c r="E284" s="2"/>
      <c r="F284" s="37">
        <f t="shared" si="25"/>
        <v>0.22137404580152673</v>
      </c>
      <c r="G284" s="2"/>
      <c r="H284" s="12">
        <f t="shared" si="26"/>
        <v>435</v>
      </c>
      <c r="I284" s="2"/>
      <c r="J284" s="12">
        <v>1965</v>
      </c>
      <c r="K284" s="2"/>
    </row>
    <row r="285" spans="1:12" x14ac:dyDescent="0.25">
      <c r="A285" t="s">
        <v>167</v>
      </c>
      <c r="B285" t="s">
        <v>157</v>
      </c>
      <c r="C285" t="s">
        <v>158</v>
      </c>
      <c r="D285" s="47">
        <v>8420</v>
      </c>
      <c r="E285" s="2"/>
      <c r="F285" s="37">
        <f t="shared" si="25"/>
        <v>0.60687022900763354</v>
      </c>
      <c r="G285" s="2"/>
      <c r="H285" s="12">
        <f t="shared" si="26"/>
        <v>3180</v>
      </c>
      <c r="I285" s="2"/>
      <c r="J285" s="12">
        <v>5240</v>
      </c>
      <c r="K285" s="2"/>
    </row>
    <row r="286" spans="1:12" x14ac:dyDescent="0.25">
      <c r="A286" t="s">
        <v>167</v>
      </c>
      <c r="B286" t="s">
        <v>159</v>
      </c>
      <c r="C286" t="s">
        <v>160</v>
      </c>
      <c r="D286" s="47">
        <v>4800</v>
      </c>
      <c r="E286" s="2"/>
      <c r="F286" s="37">
        <f t="shared" si="25"/>
        <v>0.7142857142857143</v>
      </c>
      <c r="G286" s="2"/>
      <c r="H286" s="12">
        <f t="shared" si="26"/>
        <v>2000</v>
      </c>
      <c r="I286" s="2"/>
      <c r="J286" s="12">
        <v>2800</v>
      </c>
      <c r="K286" s="2"/>
    </row>
    <row r="287" spans="1:12" x14ac:dyDescent="0.25">
      <c r="A287" t="s">
        <v>167</v>
      </c>
      <c r="B287" t="s">
        <v>23</v>
      </c>
      <c r="C287" t="s">
        <v>24</v>
      </c>
      <c r="D287" s="47">
        <v>7500</v>
      </c>
      <c r="E287" s="2"/>
      <c r="F287" s="37">
        <f t="shared" si="25"/>
        <v>0</v>
      </c>
      <c r="G287" s="2"/>
      <c r="H287" s="12">
        <f t="shared" si="26"/>
        <v>0</v>
      </c>
      <c r="I287" s="2"/>
      <c r="J287" s="12">
        <v>7500</v>
      </c>
      <c r="K287" s="2"/>
    </row>
    <row r="288" spans="1:12" x14ac:dyDescent="0.25">
      <c r="A288" t="s">
        <v>167</v>
      </c>
      <c r="B288" t="s">
        <v>44</v>
      </c>
      <c r="C288" t="s">
        <v>45</v>
      </c>
      <c r="D288" s="47">
        <v>150</v>
      </c>
      <c r="E288" s="2"/>
      <c r="F288" s="37">
        <f t="shared" si="25"/>
        <v>0</v>
      </c>
      <c r="G288" s="2"/>
      <c r="H288" s="12">
        <f t="shared" si="26"/>
        <v>0</v>
      </c>
      <c r="I288" s="2"/>
      <c r="J288" s="12">
        <v>150</v>
      </c>
      <c r="K288" s="2"/>
    </row>
    <row r="289" spans="1:12" x14ac:dyDescent="0.25">
      <c r="A289" t="s">
        <v>167</v>
      </c>
      <c r="B289" t="s">
        <v>171</v>
      </c>
      <c r="C289" t="s">
        <v>172</v>
      </c>
      <c r="D289" s="47">
        <v>75000</v>
      </c>
      <c r="E289" s="2"/>
      <c r="F289" s="37">
        <f t="shared" si="25"/>
        <v>0</v>
      </c>
      <c r="G289" s="2"/>
      <c r="H289" s="12">
        <f t="shared" si="26"/>
        <v>0</v>
      </c>
      <c r="I289" s="2"/>
      <c r="J289" s="12">
        <v>75000</v>
      </c>
      <c r="K289" s="2"/>
    </row>
    <row r="290" spans="1:12" ht="105" x14ac:dyDescent="0.25">
      <c r="A290" s="1" t="s">
        <v>0</v>
      </c>
      <c r="B290" s="1" t="s">
        <v>1</v>
      </c>
      <c r="C290" s="1" t="s">
        <v>2</v>
      </c>
      <c r="D290" s="5" t="s">
        <v>337</v>
      </c>
      <c r="E290" s="1"/>
      <c r="F290" s="5" t="s">
        <v>409</v>
      </c>
      <c r="G290" s="1"/>
      <c r="H290" s="5" t="s">
        <v>410</v>
      </c>
      <c r="I290" s="1"/>
      <c r="J290" s="4" t="s">
        <v>335</v>
      </c>
      <c r="K290" s="1"/>
    </row>
    <row r="291" spans="1:12" x14ac:dyDescent="0.25">
      <c r="A291" t="s">
        <v>167</v>
      </c>
      <c r="B291" t="s">
        <v>121</v>
      </c>
      <c r="C291" t="s">
        <v>173</v>
      </c>
      <c r="D291" s="47">
        <f>ROUNDUP((525*1.14),0)</f>
        <v>599</v>
      </c>
      <c r="E291" s="2"/>
      <c r="F291" s="37">
        <f t="shared" si="25"/>
        <v>0.14095238095238094</v>
      </c>
      <c r="G291" s="2"/>
      <c r="H291" s="12">
        <f t="shared" si="26"/>
        <v>74</v>
      </c>
      <c r="I291" s="2"/>
      <c r="J291" s="12">
        <v>525</v>
      </c>
      <c r="K291" s="2"/>
    </row>
    <row r="292" spans="1:12" x14ac:dyDescent="0.25">
      <c r="A292" t="s">
        <v>167</v>
      </c>
      <c r="B292" t="s">
        <v>123</v>
      </c>
      <c r="C292" t="s">
        <v>124</v>
      </c>
      <c r="D292" s="47">
        <v>2508</v>
      </c>
      <c r="E292" s="2"/>
      <c r="F292" s="37">
        <f t="shared" si="25"/>
        <v>0</v>
      </c>
      <c r="G292" s="2"/>
      <c r="H292" s="12">
        <f t="shared" si="26"/>
        <v>0</v>
      </c>
      <c r="I292" s="2"/>
      <c r="J292" s="12">
        <v>2508</v>
      </c>
      <c r="K292" s="2"/>
    </row>
    <row r="293" spans="1:12" x14ac:dyDescent="0.25">
      <c r="A293" t="s">
        <v>167</v>
      </c>
      <c r="B293" t="s">
        <v>125</v>
      </c>
      <c r="C293" t="s">
        <v>126</v>
      </c>
      <c r="D293" s="47">
        <f>ROUNDUP((360.88),0)</f>
        <v>361</v>
      </c>
      <c r="E293" s="2"/>
      <c r="F293" s="37">
        <f t="shared" si="25"/>
        <v>4.0345821325648415E-2</v>
      </c>
      <c r="G293" s="2"/>
      <c r="H293" s="12">
        <f t="shared" si="26"/>
        <v>14</v>
      </c>
      <c r="I293" s="2"/>
      <c r="J293" s="12">
        <v>347</v>
      </c>
      <c r="K293" s="2"/>
    </row>
    <row r="294" spans="1:12" x14ac:dyDescent="0.25">
      <c r="A294" t="s">
        <v>167</v>
      </c>
      <c r="B294" t="s">
        <v>69</v>
      </c>
      <c r="C294" t="s">
        <v>70</v>
      </c>
      <c r="D294" s="47">
        <v>40000</v>
      </c>
      <c r="E294" s="2"/>
      <c r="F294" s="37">
        <f t="shared" si="25"/>
        <v>0.6</v>
      </c>
      <c r="G294" s="2"/>
      <c r="H294" s="12">
        <f t="shared" si="26"/>
        <v>15000</v>
      </c>
      <c r="I294" s="2"/>
      <c r="J294" s="12">
        <v>25000</v>
      </c>
      <c r="K294" s="2"/>
    </row>
    <row r="295" spans="1:12" x14ac:dyDescent="0.25">
      <c r="A295" t="s">
        <v>167</v>
      </c>
      <c r="B295" t="s">
        <v>174</v>
      </c>
      <c r="C295" t="s">
        <v>175</v>
      </c>
      <c r="D295" s="47">
        <v>16878</v>
      </c>
      <c r="E295" s="2"/>
      <c r="F295" s="37">
        <f t="shared" si="25"/>
        <v>0.22127351664254705</v>
      </c>
      <c r="G295" s="2"/>
      <c r="H295" s="12">
        <f t="shared" si="26"/>
        <v>3058</v>
      </c>
      <c r="I295" s="2"/>
      <c r="J295" s="12">
        <v>13820</v>
      </c>
      <c r="K295" s="2"/>
      <c r="L295" t="s">
        <v>429</v>
      </c>
    </row>
    <row r="296" spans="1:12" x14ac:dyDescent="0.25">
      <c r="A296" t="s">
        <v>167</v>
      </c>
      <c r="B296" t="s">
        <v>176</v>
      </c>
      <c r="C296" t="s">
        <v>177</v>
      </c>
      <c r="D296" s="47">
        <v>3500</v>
      </c>
      <c r="E296" s="2"/>
      <c r="F296" s="37">
        <f t="shared" si="25"/>
        <v>0.16666666666666666</v>
      </c>
      <c r="G296" s="2"/>
      <c r="H296" s="12">
        <f t="shared" si="26"/>
        <v>500</v>
      </c>
      <c r="I296" s="2"/>
      <c r="J296" s="12">
        <v>3000</v>
      </c>
      <c r="K296" s="2"/>
    </row>
    <row r="297" spans="1:12" x14ac:dyDescent="0.25">
      <c r="A297" t="s">
        <v>167</v>
      </c>
      <c r="B297" t="s">
        <v>178</v>
      </c>
      <c r="C297" t="s">
        <v>179</v>
      </c>
      <c r="D297" s="47">
        <v>2500</v>
      </c>
      <c r="E297" s="2"/>
      <c r="F297" s="37">
        <f t="shared" si="25"/>
        <v>0</v>
      </c>
      <c r="G297" s="2"/>
      <c r="H297" s="12">
        <f t="shared" si="26"/>
        <v>0</v>
      </c>
      <c r="I297" s="2"/>
      <c r="J297" s="12">
        <v>2500</v>
      </c>
      <c r="K297" s="2"/>
    </row>
    <row r="298" spans="1:12" x14ac:dyDescent="0.25">
      <c r="A298" t="s">
        <v>167</v>
      </c>
      <c r="B298" t="s">
        <v>180</v>
      </c>
      <c r="C298" t="s">
        <v>181</v>
      </c>
      <c r="D298" s="47">
        <v>40900</v>
      </c>
      <c r="E298" s="2"/>
      <c r="F298" s="37">
        <f t="shared" si="25"/>
        <v>-4.9875717239296583E-2</v>
      </c>
      <c r="G298" s="2"/>
      <c r="H298" s="12">
        <f t="shared" si="26"/>
        <v>-2147</v>
      </c>
      <c r="I298" s="2"/>
      <c r="J298" s="12">
        <v>43047</v>
      </c>
      <c r="K298" s="2"/>
    </row>
    <row r="299" spans="1:12" x14ac:dyDescent="0.25">
      <c r="A299" t="s">
        <v>167</v>
      </c>
      <c r="B299" t="s">
        <v>182</v>
      </c>
      <c r="C299" t="s">
        <v>183</v>
      </c>
      <c r="D299" s="47">
        <v>12000</v>
      </c>
      <c r="E299" s="2"/>
      <c r="F299" s="37">
        <f t="shared" si="25"/>
        <v>6.1946902654867256E-2</v>
      </c>
      <c r="G299" s="2"/>
      <c r="H299" s="12">
        <f t="shared" si="26"/>
        <v>700</v>
      </c>
      <c r="I299" s="2"/>
      <c r="J299" s="12">
        <v>11300</v>
      </c>
      <c r="K299" s="2"/>
    </row>
    <row r="300" spans="1:12" x14ac:dyDescent="0.25">
      <c r="A300" t="s">
        <v>167</v>
      </c>
      <c r="B300" t="s">
        <v>71</v>
      </c>
      <c r="C300" t="s">
        <v>72</v>
      </c>
      <c r="D300" s="47">
        <v>28600</v>
      </c>
      <c r="E300" s="2"/>
      <c r="F300" s="37">
        <f t="shared" si="25"/>
        <v>-0.33949191685912239</v>
      </c>
      <c r="G300" s="2"/>
      <c r="H300" s="12">
        <f t="shared" si="26"/>
        <v>-14700</v>
      </c>
      <c r="I300" s="2"/>
      <c r="J300" s="12">
        <v>43300</v>
      </c>
      <c r="K300" s="2"/>
    </row>
    <row r="301" spans="1:12" x14ac:dyDescent="0.25">
      <c r="D301" s="2"/>
      <c r="E301" s="2"/>
      <c r="F301" s="2"/>
      <c r="G301" s="2"/>
      <c r="H301" s="2"/>
      <c r="I301" s="2"/>
      <c r="K301" s="2"/>
    </row>
    <row r="302" spans="1:12" x14ac:dyDescent="0.25">
      <c r="A302" t="s">
        <v>5</v>
      </c>
      <c r="B302" t="s">
        <v>5</v>
      </c>
      <c r="C302" s="1" t="s">
        <v>367</v>
      </c>
      <c r="D302" s="8">
        <f>SUM(D269:D300)</f>
        <v>1018496</v>
      </c>
      <c r="E302" s="2"/>
      <c r="F302" s="15">
        <f>H302/J302</f>
        <v>0.36094155878863032</v>
      </c>
      <c r="G302" s="2"/>
      <c r="H302" s="8">
        <f>SUM(H269:H300)</f>
        <v>270120</v>
      </c>
      <c r="I302" s="2"/>
      <c r="J302" s="8">
        <f>SUM(J269:J300)</f>
        <v>748376</v>
      </c>
      <c r="K302" s="2"/>
    </row>
    <row r="303" spans="1:12" x14ac:dyDescent="0.25">
      <c r="D303" s="2"/>
      <c r="E303" s="2"/>
      <c r="F303" s="2"/>
      <c r="G303" s="2"/>
      <c r="H303" s="2"/>
      <c r="I303" s="2"/>
      <c r="K303" s="2"/>
    </row>
    <row r="304" spans="1:12" x14ac:dyDescent="0.25">
      <c r="A304" t="s">
        <v>184</v>
      </c>
      <c r="B304" t="s">
        <v>185</v>
      </c>
      <c r="C304" t="s">
        <v>186</v>
      </c>
      <c r="D304" s="47">
        <f>ROUNDUP((340609.72),0)</f>
        <v>340610</v>
      </c>
      <c r="E304" s="2"/>
      <c r="F304" s="37">
        <f>H304/J304</f>
        <v>1.7879609236552938E-2</v>
      </c>
      <c r="G304" s="2"/>
      <c r="H304" s="12">
        <f t="shared" ref="H304:H309" si="27">D304-J304</f>
        <v>5983</v>
      </c>
      <c r="I304" s="2"/>
      <c r="J304" s="12">
        <v>334627</v>
      </c>
      <c r="K304" s="2"/>
    </row>
    <row r="305" spans="1:12" x14ac:dyDescent="0.25">
      <c r="A305" t="s">
        <v>184</v>
      </c>
      <c r="B305" t="s">
        <v>30</v>
      </c>
      <c r="C305" t="s">
        <v>31</v>
      </c>
      <c r="D305" s="47">
        <f>ROUNDUP((1657.68),0)</f>
        <v>1658</v>
      </c>
      <c r="E305" s="2"/>
      <c r="F305" s="37">
        <f>H305/J305</f>
        <v>3.0453697949036667E-2</v>
      </c>
      <c r="G305" s="2"/>
      <c r="H305" s="12">
        <f t="shared" si="27"/>
        <v>49</v>
      </c>
      <c r="I305" s="2"/>
      <c r="J305" s="12">
        <v>1609</v>
      </c>
      <c r="K305" s="2"/>
    </row>
    <row r="306" spans="1:12" x14ac:dyDescent="0.25">
      <c r="A306" t="s">
        <v>184</v>
      </c>
      <c r="B306" t="s">
        <v>34</v>
      </c>
      <c r="C306" t="s">
        <v>35</v>
      </c>
      <c r="D306" s="47">
        <f>ROUNDUP((8.12),0)</f>
        <v>9</v>
      </c>
      <c r="E306" s="2"/>
      <c r="F306" s="37">
        <f>H306/J306</f>
        <v>-0.1</v>
      </c>
      <c r="G306" s="2"/>
      <c r="H306" s="12">
        <f t="shared" si="27"/>
        <v>-1</v>
      </c>
      <c r="I306" s="2"/>
      <c r="J306" s="12">
        <v>10</v>
      </c>
      <c r="K306" s="2"/>
    </row>
    <row r="307" spans="1:12" x14ac:dyDescent="0.25">
      <c r="A307" t="s">
        <v>184</v>
      </c>
      <c r="B307" t="s">
        <v>9</v>
      </c>
      <c r="C307" t="s">
        <v>10</v>
      </c>
      <c r="D307" s="47">
        <f>ROUNDUP((55.45),0)</f>
        <v>56</v>
      </c>
      <c r="E307" s="2"/>
      <c r="F307" s="37">
        <f>H307/J307</f>
        <v>-1.7543859649122806E-2</v>
      </c>
      <c r="G307" s="2"/>
      <c r="H307" s="12">
        <f t="shared" si="27"/>
        <v>-1</v>
      </c>
      <c r="I307" s="2"/>
      <c r="J307" s="12">
        <v>57</v>
      </c>
      <c r="K307" s="2"/>
    </row>
    <row r="308" spans="1:12" x14ac:dyDescent="0.25">
      <c r="A308" t="s">
        <v>184</v>
      </c>
      <c r="B308" s="20" t="s">
        <v>36</v>
      </c>
      <c r="C308" t="s">
        <v>430</v>
      </c>
      <c r="D308" s="47">
        <f>ROUNDUP((169.08),0)</f>
        <v>170</v>
      </c>
      <c r="E308" s="2"/>
      <c r="F308" s="37">
        <v>1</v>
      </c>
      <c r="G308" s="2"/>
      <c r="H308" s="12">
        <f t="shared" si="27"/>
        <v>170</v>
      </c>
      <c r="I308" s="2"/>
      <c r="J308" s="12">
        <v>0</v>
      </c>
      <c r="K308" s="2"/>
    </row>
    <row r="309" spans="1:12" x14ac:dyDescent="0.25">
      <c r="A309" t="s">
        <v>184</v>
      </c>
      <c r="B309" t="s">
        <v>11</v>
      </c>
      <c r="C309" t="s">
        <v>12</v>
      </c>
      <c r="D309" s="47">
        <f>ROUNDUP((126.81),0)</f>
        <v>127</v>
      </c>
      <c r="E309" s="2"/>
      <c r="F309" s="37">
        <f>H309/J309</f>
        <v>3.2520325203252036E-2</v>
      </c>
      <c r="G309" s="2"/>
      <c r="H309" s="12">
        <f t="shared" si="27"/>
        <v>4</v>
      </c>
      <c r="I309" s="2"/>
      <c r="J309" s="12">
        <v>123</v>
      </c>
      <c r="K309" s="2"/>
    </row>
    <row r="310" spans="1:12" x14ac:dyDescent="0.25">
      <c r="D310" s="2"/>
      <c r="E310" s="2"/>
      <c r="F310" s="2"/>
      <c r="G310" s="2"/>
      <c r="H310" s="2"/>
      <c r="I310" s="2"/>
      <c r="K310" s="2"/>
    </row>
    <row r="311" spans="1:12" x14ac:dyDescent="0.25">
      <c r="A311" t="s">
        <v>5</v>
      </c>
      <c r="B311" t="s">
        <v>5</v>
      </c>
      <c r="C311" s="1" t="s">
        <v>371</v>
      </c>
      <c r="D311" s="8">
        <f>SUM(D304:D309)</f>
        <v>342630</v>
      </c>
      <c r="E311" s="2"/>
      <c r="F311" s="15">
        <f>H311/J311</f>
        <v>1.8440905280804692E-2</v>
      </c>
      <c r="G311" s="2"/>
      <c r="H311" s="8">
        <f>SUM(H304:H309)</f>
        <v>6204</v>
      </c>
      <c r="I311" s="2"/>
      <c r="J311" s="8">
        <v>336426</v>
      </c>
      <c r="K311" s="2"/>
    </row>
    <row r="312" spans="1:12" x14ac:dyDescent="0.25">
      <c r="D312" s="2"/>
      <c r="E312" s="2"/>
      <c r="F312" s="2"/>
      <c r="G312" s="2"/>
      <c r="H312" s="2"/>
      <c r="I312" s="2"/>
      <c r="K312" s="2"/>
    </row>
    <row r="313" spans="1:12" x14ac:dyDescent="0.25">
      <c r="A313" t="s">
        <v>187</v>
      </c>
      <c r="B313" t="s">
        <v>30</v>
      </c>
      <c r="C313" t="s">
        <v>31</v>
      </c>
      <c r="D313" s="47">
        <f>ROUNDUP((56778.58),0)</f>
        <v>56779</v>
      </c>
      <c r="E313" s="2"/>
      <c r="F313" s="37">
        <f t="shared" ref="F313:F329" si="28">H313/J313</f>
        <v>3.0004535147392292E-2</v>
      </c>
      <c r="G313" s="2"/>
      <c r="H313" s="12">
        <f t="shared" ref="H313:H330" si="29">D313-J313</f>
        <v>1654</v>
      </c>
      <c r="I313" s="2"/>
      <c r="J313" s="12">
        <v>55125</v>
      </c>
      <c r="K313" s="2"/>
      <c r="L313" t="s">
        <v>355</v>
      </c>
    </row>
    <row r="314" spans="1:12" x14ac:dyDescent="0.25">
      <c r="A314" t="s">
        <v>187</v>
      </c>
      <c r="B314" t="s">
        <v>61</v>
      </c>
      <c r="C314" t="s">
        <v>75</v>
      </c>
      <c r="D314" s="47">
        <v>2160</v>
      </c>
      <c r="E314" s="2"/>
      <c r="F314" s="37">
        <f t="shared" si="28"/>
        <v>0</v>
      </c>
      <c r="G314" s="2"/>
      <c r="H314" s="12">
        <f t="shared" si="29"/>
        <v>0</v>
      </c>
      <c r="I314" s="2"/>
      <c r="J314" s="12">
        <v>2160</v>
      </c>
      <c r="K314" s="2"/>
    </row>
    <row r="315" spans="1:12" x14ac:dyDescent="0.25">
      <c r="A315" t="s">
        <v>187</v>
      </c>
      <c r="B315" t="s">
        <v>34</v>
      </c>
      <c r="C315" t="s">
        <v>35</v>
      </c>
      <c r="D315" s="47">
        <f>ROUNDUP((85.7),0)</f>
        <v>86</v>
      </c>
      <c r="E315" s="2"/>
      <c r="F315" s="37">
        <f t="shared" si="28"/>
        <v>-0.23214285714285715</v>
      </c>
      <c r="G315" s="2"/>
      <c r="H315" s="12">
        <f t="shared" si="29"/>
        <v>-26</v>
      </c>
      <c r="I315" s="2"/>
      <c r="J315" s="12">
        <v>112</v>
      </c>
      <c r="K315" s="2"/>
    </row>
    <row r="316" spans="1:12" x14ac:dyDescent="0.25">
      <c r="A316" t="s">
        <v>187</v>
      </c>
      <c r="B316" t="s">
        <v>9</v>
      </c>
      <c r="C316" t="s">
        <v>10</v>
      </c>
      <c r="D316" s="47">
        <f>ROUNDUP((1047.07),0)</f>
        <v>1048</v>
      </c>
      <c r="E316" s="2"/>
      <c r="F316" s="37">
        <f t="shared" si="28"/>
        <v>0.1868629671574179</v>
      </c>
      <c r="G316" s="2"/>
      <c r="H316" s="12">
        <f t="shared" si="29"/>
        <v>165</v>
      </c>
      <c r="I316" s="2"/>
      <c r="J316" s="12">
        <v>883</v>
      </c>
      <c r="K316" s="2"/>
    </row>
    <row r="317" spans="1:12" x14ac:dyDescent="0.25">
      <c r="A317" t="s">
        <v>187</v>
      </c>
      <c r="B317" t="s">
        <v>36</v>
      </c>
      <c r="C317" t="s">
        <v>37</v>
      </c>
      <c r="D317" s="47">
        <f>ROUNDUP((5791.41),0)</f>
        <v>5792</v>
      </c>
      <c r="E317" s="2"/>
      <c r="F317" s="37">
        <f t="shared" si="28"/>
        <v>2.0257178087017789E-2</v>
      </c>
      <c r="G317" s="2"/>
      <c r="H317" s="12">
        <f t="shared" si="29"/>
        <v>115</v>
      </c>
      <c r="I317" s="2"/>
      <c r="J317" s="12">
        <v>5677</v>
      </c>
      <c r="K317" s="2"/>
    </row>
    <row r="318" spans="1:12" x14ac:dyDescent="0.25">
      <c r="A318" t="s">
        <v>187</v>
      </c>
      <c r="B318" t="s">
        <v>38</v>
      </c>
      <c r="C318" t="s">
        <v>39</v>
      </c>
      <c r="D318" s="47">
        <f>ROUNDUP((27269.05),0)</f>
        <v>27270</v>
      </c>
      <c r="E318" s="2"/>
      <c r="F318" s="37">
        <f t="shared" si="28"/>
        <v>9.7295992274263637E-2</v>
      </c>
      <c r="G318" s="2"/>
      <c r="H318" s="12">
        <f t="shared" si="29"/>
        <v>2418</v>
      </c>
      <c r="I318" s="2"/>
      <c r="J318" s="12">
        <v>24852</v>
      </c>
      <c r="K318" s="2"/>
    </row>
    <row r="319" spans="1:12" x14ac:dyDescent="0.25">
      <c r="A319" t="s">
        <v>187</v>
      </c>
      <c r="B319" t="s">
        <v>11</v>
      </c>
      <c r="C319" t="s">
        <v>12</v>
      </c>
      <c r="D319" s="47">
        <f>ROUNDUP((4508.8),0)</f>
        <v>4509</v>
      </c>
      <c r="E319" s="2"/>
      <c r="F319" s="37">
        <f t="shared" si="28"/>
        <v>2.898219990871748E-2</v>
      </c>
      <c r="G319" s="2"/>
      <c r="H319" s="12">
        <f t="shared" si="29"/>
        <v>127</v>
      </c>
      <c r="I319" s="2"/>
      <c r="J319" s="12">
        <v>4382</v>
      </c>
      <c r="K319" s="2"/>
    </row>
    <row r="320" spans="1:12" x14ac:dyDescent="0.25">
      <c r="A320" t="s">
        <v>187</v>
      </c>
      <c r="B320" t="s">
        <v>15</v>
      </c>
      <c r="C320" t="s">
        <v>16</v>
      </c>
      <c r="D320" s="47">
        <v>1000</v>
      </c>
      <c r="E320" s="2"/>
      <c r="F320" s="37">
        <f t="shared" si="28"/>
        <v>0</v>
      </c>
      <c r="G320" s="2"/>
      <c r="H320" s="12">
        <f t="shared" si="29"/>
        <v>0</v>
      </c>
      <c r="I320" s="2"/>
      <c r="J320" s="12">
        <v>1000</v>
      </c>
      <c r="K320" s="2"/>
    </row>
    <row r="321" spans="1:12" x14ac:dyDescent="0.25">
      <c r="A321" t="s">
        <v>187</v>
      </c>
      <c r="B321" t="s">
        <v>153</v>
      </c>
      <c r="C321" t="s">
        <v>154</v>
      </c>
      <c r="D321" s="47">
        <v>600</v>
      </c>
      <c r="E321" s="2"/>
      <c r="F321" s="37">
        <f t="shared" si="28"/>
        <v>0</v>
      </c>
      <c r="G321" s="2"/>
      <c r="H321" s="12">
        <f t="shared" si="29"/>
        <v>0</v>
      </c>
      <c r="I321" s="2"/>
      <c r="J321" s="12">
        <v>600</v>
      </c>
      <c r="K321" s="2"/>
    </row>
    <row r="322" spans="1:12" x14ac:dyDescent="0.25">
      <c r="A322" t="s">
        <v>187</v>
      </c>
      <c r="B322" t="s">
        <v>40</v>
      </c>
      <c r="C322" t="s">
        <v>41</v>
      </c>
      <c r="D322" s="47">
        <v>720</v>
      </c>
      <c r="E322" s="2"/>
      <c r="F322" s="37">
        <f t="shared" si="28"/>
        <v>0.152</v>
      </c>
      <c r="G322" s="2"/>
      <c r="H322" s="12">
        <f t="shared" si="29"/>
        <v>95</v>
      </c>
      <c r="I322" s="2"/>
      <c r="J322" s="12">
        <v>625</v>
      </c>
      <c r="K322" s="2"/>
    </row>
    <row r="323" spans="1:12" x14ac:dyDescent="0.25">
      <c r="A323" t="s">
        <v>187</v>
      </c>
      <c r="B323" t="s">
        <v>85</v>
      </c>
      <c r="C323" t="s">
        <v>86</v>
      </c>
      <c r="D323" s="47">
        <v>3968</v>
      </c>
      <c r="E323" s="2"/>
      <c r="F323" s="37">
        <f t="shared" si="28"/>
        <v>0</v>
      </c>
      <c r="G323" s="2"/>
      <c r="H323" s="12">
        <f t="shared" si="29"/>
        <v>0</v>
      </c>
      <c r="I323" s="2"/>
      <c r="J323" s="12">
        <v>3968</v>
      </c>
      <c r="K323" s="2"/>
    </row>
    <row r="324" spans="1:12" x14ac:dyDescent="0.25">
      <c r="A324" t="s">
        <v>187</v>
      </c>
      <c r="B324" t="s">
        <v>159</v>
      </c>
      <c r="C324" t="s">
        <v>160</v>
      </c>
      <c r="D324" s="47">
        <v>700</v>
      </c>
      <c r="E324" s="2"/>
      <c r="F324" s="37">
        <f t="shared" si="28"/>
        <v>0</v>
      </c>
      <c r="G324" s="2"/>
      <c r="H324" s="12">
        <f t="shared" si="29"/>
        <v>0</v>
      </c>
      <c r="I324" s="2"/>
      <c r="J324" s="12">
        <v>700</v>
      </c>
      <c r="K324" s="2"/>
    </row>
    <row r="325" spans="1:12" x14ac:dyDescent="0.25">
      <c r="A325" t="s">
        <v>187</v>
      </c>
      <c r="B325" t="s">
        <v>23</v>
      </c>
      <c r="C325" t="s">
        <v>24</v>
      </c>
      <c r="D325" s="47">
        <v>400</v>
      </c>
      <c r="E325" s="2"/>
      <c r="F325" s="37">
        <f t="shared" si="28"/>
        <v>0</v>
      </c>
      <c r="G325" s="2"/>
      <c r="H325" s="12">
        <f t="shared" si="29"/>
        <v>0</v>
      </c>
      <c r="I325" s="2"/>
      <c r="J325" s="12">
        <v>400</v>
      </c>
      <c r="K325" s="2"/>
    </row>
    <row r="326" spans="1:12" x14ac:dyDescent="0.25">
      <c r="A326" t="s">
        <v>187</v>
      </c>
      <c r="B326" t="s">
        <v>188</v>
      </c>
      <c r="C326" t="s">
        <v>189</v>
      </c>
      <c r="D326" s="47">
        <v>14761</v>
      </c>
      <c r="E326" s="2"/>
      <c r="F326" s="37">
        <f t="shared" si="28"/>
        <v>4.8292024714153822E-2</v>
      </c>
      <c r="G326" s="2"/>
      <c r="H326" s="12">
        <f t="shared" si="29"/>
        <v>680</v>
      </c>
      <c r="I326" s="2"/>
      <c r="J326" s="12">
        <v>14081</v>
      </c>
      <c r="K326" s="2"/>
    </row>
    <row r="327" spans="1:12" ht="105" x14ac:dyDescent="0.25">
      <c r="A327" s="1" t="s">
        <v>0</v>
      </c>
      <c r="B327" s="1" t="s">
        <v>1</v>
      </c>
      <c r="C327" s="1" t="s">
        <v>2</v>
      </c>
      <c r="D327" s="5" t="s">
        <v>337</v>
      </c>
      <c r="E327" s="1"/>
      <c r="F327" s="5" t="s">
        <v>409</v>
      </c>
      <c r="G327" s="1"/>
      <c r="H327" s="5" t="s">
        <v>410</v>
      </c>
      <c r="I327" s="1"/>
      <c r="J327" s="4" t="s">
        <v>335</v>
      </c>
      <c r="K327" s="1"/>
    </row>
    <row r="328" spans="1:12" x14ac:dyDescent="0.25">
      <c r="A328" t="s">
        <v>187</v>
      </c>
      <c r="B328" t="s">
        <v>69</v>
      </c>
      <c r="C328" t="s">
        <v>70</v>
      </c>
      <c r="D328" s="47">
        <v>2000</v>
      </c>
      <c r="E328" s="2"/>
      <c r="F328" s="37">
        <f t="shared" si="28"/>
        <v>1.1052631578947369</v>
      </c>
      <c r="G328" s="2"/>
      <c r="H328" s="12">
        <f t="shared" si="29"/>
        <v>1050</v>
      </c>
      <c r="I328" s="2"/>
      <c r="J328" s="12">
        <v>950</v>
      </c>
      <c r="K328" s="2"/>
    </row>
    <row r="329" spans="1:12" x14ac:dyDescent="0.25">
      <c r="A329" t="s">
        <v>187</v>
      </c>
      <c r="B329" t="s">
        <v>71</v>
      </c>
      <c r="C329" t="s">
        <v>72</v>
      </c>
      <c r="D329" s="47">
        <f>16500-16250</f>
        <v>250</v>
      </c>
      <c r="E329" s="2"/>
      <c r="F329" s="37">
        <f t="shared" si="28"/>
        <v>0</v>
      </c>
      <c r="G329" s="2"/>
      <c r="H329" s="12">
        <f t="shared" si="29"/>
        <v>0</v>
      </c>
      <c r="I329" s="2"/>
      <c r="J329" s="12">
        <v>250</v>
      </c>
      <c r="K329" s="2"/>
      <c r="L329" t="s">
        <v>437</v>
      </c>
    </row>
    <row r="330" spans="1:12" x14ac:dyDescent="0.25">
      <c r="A330" t="s">
        <v>187</v>
      </c>
      <c r="B330" s="20" t="s">
        <v>165</v>
      </c>
      <c r="C330" t="s">
        <v>374</v>
      </c>
      <c r="D330" s="47">
        <v>0</v>
      </c>
      <c r="E330" s="2"/>
      <c r="F330" s="37">
        <v>0</v>
      </c>
      <c r="G330" s="2"/>
      <c r="H330" s="12">
        <f t="shared" si="29"/>
        <v>0</v>
      </c>
      <c r="I330" s="2"/>
      <c r="J330" s="12">
        <v>0</v>
      </c>
      <c r="K330" s="2"/>
      <c r="L330" t="s">
        <v>436</v>
      </c>
    </row>
    <row r="331" spans="1:12" x14ac:dyDescent="0.25">
      <c r="D331" s="2"/>
      <c r="E331" s="2"/>
      <c r="F331" s="2"/>
      <c r="G331" s="2"/>
      <c r="H331" s="2"/>
      <c r="I331" s="2"/>
      <c r="K331" s="2"/>
    </row>
    <row r="332" spans="1:12" x14ac:dyDescent="0.25">
      <c r="A332" t="s">
        <v>5</v>
      </c>
      <c r="B332" t="s">
        <v>5</v>
      </c>
      <c r="C332" s="1" t="s">
        <v>372</v>
      </c>
      <c r="D332" s="8">
        <f>SUM(D313:D330)</f>
        <v>122043</v>
      </c>
      <c r="E332" s="2"/>
      <c r="F332" s="41">
        <f>H332/J332</f>
        <v>5.4230553276033343E-2</v>
      </c>
      <c r="G332" s="2"/>
      <c r="H332" s="8">
        <f>SUM(H313:H330)</f>
        <v>6278</v>
      </c>
      <c r="I332" s="2"/>
      <c r="J332" s="8">
        <f>SUM(J313:J330)</f>
        <v>115765</v>
      </c>
      <c r="K332" s="2"/>
    </row>
    <row r="333" spans="1:12" x14ac:dyDescent="0.25">
      <c r="D333" s="2"/>
      <c r="E333" s="2"/>
      <c r="F333" s="2"/>
      <c r="G333" s="2"/>
      <c r="H333" s="2"/>
      <c r="I333" s="2"/>
      <c r="K333" s="2"/>
    </row>
    <row r="334" spans="1:12" x14ac:dyDescent="0.25">
      <c r="A334" t="s">
        <v>190</v>
      </c>
      <c r="B334" t="s">
        <v>30</v>
      </c>
      <c r="C334" t="s">
        <v>31</v>
      </c>
      <c r="D334" s="47">
        <f>ROUNDUP((199285.86),0)</f>
        <v>199286</v>
      </c>
      <c r="E334" s="2"/>
      <c r="F334" s="37">
        <f t="shared" ref="F334:F350" si="30">H334/J334</f>
        <v>1.9454377106960706E-2</v>
      </c>
      <c r="G334" s="2"/>
      <c r="H334" s="12">
        <f t="shared" ref="H334:H350" si="31">D334-J334</f>
        <v>3803</v>
      </c>
      <c r="I334" s="2"/>
      <c r="J334" s="12">
        <v>195483</v>
      </c>
      <c r="K334" s="2"/>
    </row>
    <row r="335" spans="1:12" x14ac:dyDescent="0.25">
      <c r="A335" t="s">
        <v>190</v>
      </c>
      <c r="B335" t="s">
        <v>141</v>
      </c>
      <c r="C335" t="s">
        <v>142</v>
      </c>
      <c r="D335" s="47">
        <v>3500</v>
      </c>
      <c r="E335" s="2"/>
      <c r="F335" s="37">
        <f t="shared" si="30"/>
        <v>0</v>
      </c>
      <c r="G335" s="2"/>
      <c r="H335" s="12">
        <f t="shared" si="31"/>
        <v>0</v>
      </c>
      <c r="I335" s="2"/>
      <c r="J335" s="12">
        <v>3500</v>
      </c>
      <c r="K335" s="2"/>
    </row>
    <row r="336" spans="1:12" x14ac:dyDescent="0.25">
      <c r="A336" t="s">
        <v>190</v>
      </c>
      <c r="B336" t="s">
        <v>59</v>
      </c>
      <c r="C336" t="s">
        <v>60</v>
      </c>
      <c r="D336" s="47">
        <v>21630</v>
      </c>
      <c r="E336" s="2"/>
      <c r="F336" s="37">
        <f t="shared" si="30"/>
        <v>0</v>
      </c>
      <c r="G336" s="2"/>
      <c r="H336" s="12">
        <f t="shared" si="31"/>
        <v>0</v>
      </c>
      <c r="I336" s="2"/>
      <c r="J336" s="12">
        <v>21630</v>
      </c>
      <c r="K336" s="2"/>
    </row>
    <row r="337" spans="1:11" x14ac:dyDescent="0.25">
      <c r="A337" t="s">
        <v>190</v>
      </c>
      <c r="B337" t="s">
        <v>61</v>
      </c>
      <c r="C337" t="s">
        <v>62</v>
      </c>
      <c r="D337" s="47">
        <v>1350</v>
      </c>
      <c r="E337" s="2"/>
      <c r="F337" s="37">
        <f t="shared" si="30"/>
        <v>0</v>
      </c>
      <c r="G337" s="2"/>
      <c r="H337" s="12">
        <f t="shared" si="31"/>
        <v>0</v>
      </c>
      <c r="I337" s="2"/>
      <c r="J337" s="12">
        <v>1350</v>
      </c>
      <c r="K337" s="2"/>
    </row>
    <row r="338" spans="1:11" x14ac:dyDescent="0.25">
      <c r="A338" t="s">
        <v>190</v>
      </c>
      <c r="B338" t="s">
        <v>147</v>
      </c>
      <c r="C338" t="s">
        <v>148</v>
      </c>
      <c r="D338" s="47">
        <v>62325</v>
      </c>
      <c r="E338" s="2"/>
      <c r="F338" s="37">
        <f t="shared" si="30"/>
        <v>0.21019417475728155</v>
      </c>
      <c r="G338" s="2"/>
      <c r="H338" s="12">
        <f t="shared" si="31"/>
        <v>10825</v>
      </c>
      <c r="I338" s="2"/>
      <c r="J338" s="12">
        <v>51500</v>
      </c>
      <c r="K338" s="2"/>
    </row>
    <row r="339" spans="1:11" x14ac:dyDescent="0.25">
      <c r="A339" t="s">
        <v>190</v>
      </c>
      <c r="B339" t="s">
        <v>34</v>
      </c>
      <c r="C339" t="s">
        <v>35</v>
      </c>
      <c r="D339" s="47">
        <f>ROUNDUP((359.42),0)</f>
        <v>360</v>
      </c>
      <c r="E339" s="2"/>
      <c r="F339" s="37">
        <f t="shared" si="30"/>
        <v>0.20805369127516779</v>
      </c>
      <c r="G339" s="2"/>
      <c r="H339" s="12">
        <f t="shared" si="31"/>
        <v>62</v>
      </c>
      <c r="I339" s="2"/>
      <c r="J339" s="12">
        <v>298</v>
      </c>
      <c r="K339" s="2"/>
    </row>
    <row r="340" spans="1:11" x14ac:dyDescent="0.25">
      <c r="A340" t="s">
        <v>190</v>
      </c>
      <c r="B340" t="s">
        <v>9</v>
      </c>
      <c r="C340" t="s">
        <v>10</v>
      </c>
      <c r="D340" s="47">
        <f>ROUNDUP((1317.37),0)</f>
        <v>1318</v>
      </c>
      <c r="E340" s="2"/>
      <c r="F340" s="37">
        <f t="shared" si="30"/>
        <v>0.71391417425227566</v>
      </c>
      <c r="G340" s="2"/>
      <c r="H340" s="12">
        <f t="shared" si="31"/>
        <v>549</v>
      </c>
      <c r="I340" s="2"/>
      <c r="J340" s="12">
        <v>769</v>
      </c>
      <c r="K340" s="2"/>
    </row>
    <row r="341" spans="1:11" x14ac:dyDescent="0.25">
      <c r="A341" t="s">
        <v>190</v>
      </c>
      <c r="B341" t="s">
        <v>36</v>
      </c>
      <c r="C341" t="s">
        <v>37</v>
      </c>
      <c r="D341" s="47">
        <f>ROUNDUP((33274.99),0)</f>
        <v>33275</v>
      </c>
      <c r="E341" s="2"/>
      <c r="F341" s="37">
        <f t="shared" si="30"/>
        <v>1.2167300380228136E-2</v>
      </c>
      <c r="G341" s="2"/>
      <c r="H341" s="12">
        <f t="shared" si="31"/>
        <v>400</v>
      </c>
      <c r="I341" s="2"/>
      <c r="J341" s="12">
        <v>32875</v>
      </c>
      <c r="K341" s="2"/>
    </row>
    <row r="342" spans="1:11" x14ac:dyDescent="0.25">
      <c r="A342" t="s">
        <v>190</v>
      </c>
      <c r="B342" t="s">
        <v>38</v>
      </c>
      <c r="C342" t="s">
        <v>39</v>
      </c>
      <c r="D342" s="47">
        <f>ROUNDUP((29344.36),0)</f>
        <v>29345</v>
      </c>
      <c r="E342" s="2"/>
      <c r="F342" s="37">
        <f t="shared" si="30"/>
        <v>-0.26804020852560423</v>
      </c>
      <c r="G342" s="2"/>
      <c r="H342" s="12">
        <f t="shared" si="31"/>
        <v>-10746</v>
      </c>
      <c r="I342" s="2"/>
      <c r="J342" s="12">
        <v>40091</v>
      </c>
      <c r="K342" s="2"/>
    </row>
    <row r="343" spans="1:11" x14ac:dyDescent="0.25">
      <c r="A343" t="s">
        <v>190</v>
      </c>
      <c r="B343" t="s">
        <v>11</v>
      </c>
      <c r="C343" t="s">
        <v>12</v>
      </c>
      <c r="D343" s="47">
        <f>ROUNDUP((22038.95),0)</f>
        <v>22039</v>
      </c>
      <c r="E343" s="2"/>
      <c r="F343" s="37">
        <f t="shared" si="30"/>
        <v>6.520057999033349E-2</v>
      </c>
      <c r="G343" s="2"/>
      <c r="H343" s="12">
        <f t="shared" si="31"/>
        <v>1349</v>
      </c>
      <c r="I343" s="2"/>
      <c r="J343" s="12">
        <v>20690</v>
      </c>
      <c r="K343" s="2"/>
    </row>
    <row r="344" spans="1:11" x14ac:dyDescent="0.25">
      <c r="A344" t="s">
        <v>190</v>
      </c>
      <c r="B344" t="s">
        <v>13</v>
      </c>
      <c r="C344" t="s">
        <v>14</v>
      </c>
      <c r="D344" s="47">
        <v>1000</v>
      </c>
      <c r="E344" s="2"/>
      <c r="F344" s="37">
        <f t="shared" si="30"/>
        <v>0</v>
      </c>
      <c r="G344" s="2"/>
      <c r="H344" s="12">
        <f t="shared" si="31"/>
        <v>0</v>
      </c>
      <c r="I344" s="2"/>
      <c r="J344" s="12">
        <v>1000</v>
      </c>
      <c r="K344" s="2"/>
    </row>
    <row r="345" spans="1:11" x14ac:dyDescent="0.25">
      <c r="A345" t="s">
        <v>190</v>
      </c>
      <c r="B345" t="s">
        <v>21</v>
      </c>
      <c r="C345" t="s">
        <v>22</v>
      </c>
      <c r="D345" s="47">
        <v>120</v>
      </c>
      <c r="E345" s="2"/>
      <c r="F345" s="37">
        <f t="shared" si="30"/>
        <v>0</v>
      </c>
      <c r="G345" s="2"/>
      <c r="H345" s="12">
        <f t="shared" si="31"/>
        <v>0</v>
      </c>
      <c r="I345" s="2"/>
      <c r="J345" s="12">
        <v>120</v>
      </c>
      <c r="K345" s="2"/>
    </row>
    <row r="346" spans="1:11" x14ac:dyDescent="0.25">
      <c r="A346" t="s">
        <v>190</v>
      </c>
      <c r="B346" t="s">
        <v>151</v>
      </c>
      <c r="C346" t="s">
        <v>152</v>
      </c>
      <c r="D346" s="47">
        <v>300</v>
      </c>
      <c r="E346" s="2"/>
      <c r="F346" s="37">
        <f t="shared" si="30"/>
        <v>0</v>
      </c>
      <c r="G346" s="2"/>
      <c r="H346" s="12">
        <f t="shared" si="31"/>
        <v>0</v>
      </c>
      <c r="I346" s="2"/>
      <c r="J346" s="12">
        <v>300</v>
      </c>
      <c r="K346" s="2"/>
    </row>
    <row r="347" spans="1:11" x14ac:dyDescent="0.25">
      <c r="A347" t="s">
        <v>190</v>
      </c>
      <c r="B347" t="s">
        <v>153</v>
      </c>
      <c r="C347" t="s">
        <v>154</v>
      </c>
      <c r="D347" s="47">
        <v>2250</v>
      </c>
      <c r="E347" s="2"/>
      <c r="F347" s="37">
        <f t="shared" si="30"/>
        <v>0</v>
      </c>
      <c r="G347" s="2"/>
      <c r="H347" s="12">
        <f t="shared" si="31"/>
        <v>0</v>
      </c>
      <c r="I347" s="2"/>
      <c r="J347" s="12">
        <v>2250</v>
      </c>
      <c r="K347" s="2"/>
    </row>
    <row r="348" spans="1:11" x14ac:dyDescent="0.25">
      <c r="A348" t="s">
        <v>190</v>
      </c>
      <c r="B348" t="s">
        <v>23</v>
      </c>
      <c r="C348" t="s">
        <v>24</v>
      </c>
      <c r="D348" s="47">
        <v>1450</v>
      </c>
      <c r="E348" s="2"/>
      <c r="F348" s="37">
        <f t="shared" si="30"/>
        <v>0</v>
      </c>
      <c r="G348" s="2"/>
      <c r="H348" s="12">
        <f t="shared" si="31"/>
        <v>0</v>
      </c>
      <c r="I348" s="2"/>
      <c r="J348" s="12">
        <v>1450</v>
      </c>
      <c r="K348" s="2"/>
    </row>
    <row r="349" spans="1:11" x14ac:dyDescent="0.25">
      <c r="A349" t="s">
        <v>190</v>
      </c>
      <c r="B349" t="s">
        <v>123</v>
      </c>
      <c r="C349" t="s">
        <v>124</v>
      </c>
      <c r="D349" s="47">
        <v>1900</v>
      </c>
      <c r="E349" s="2"/>
      <c r="F349" s="37">
        <f t="shared" si="30"/>
        <v>0</v>
      </c>
      <c r="G349" s="2"/>
      <c r="H349" s="12">
        <f t="shared" si="31"/>
        <v>0</v>
      </c>
      <c r="I349" s="2"/>
      <c r="J349" s="12">
        <v>1900</v>
      </c>
      <c r="K349" s="2"/>
    </row>
    <row r="350" spans="1:11" x14ac:dyDescent="0.25">
      <c r="A350" t="s">
        <v>190</v>
      </c>
      <c r="B350" t="s">
        <v>69</v>
      </c>
      <c r="C350" t="s">
        <v>70</v>
      </c>
      <c r="D350" s="47">
        <v>1125</v>
      </c>
      <c r="E350" s="2"/>
      <c r="F350" s="37">
        <f t="shared" si="30"/>
        <v>0</v>
      </c>
      <c r="G350" s="2"/>
      <c r="H350" s="12">
        <f t="shared" si="31"/>
        <v>0</v>
      </c>
      <c r="I350" s="2"/>
      <c r="J350" s="12">
        <v>1125</v>
      </c>
      <c r="K350" s="2"/>
    </row>
    <row r="351" spans="1:11" x14ac:dyDescent="0.25">
      <c r="D351" s="2"/>
      <c r="E351" s="2"/>
      <c r="F351" s="2"/>
      <c r="G351" s="2"/>
      <c r="H351" s="2"/>
      <c r="I351" s="2"/>
      <c r="K351" s="2"/>
    </row>
    <row r="352" spans="1:11" x14ac:dyDescent="0.25">
      <c r="A352" t="s">
        <v>5</v>
      </c>
      <c r="B352" t="s">
        <v>5</v>
      </c>
      <c r="C352" s="1" t="s">
        <v>373</v>
      </c>
      <c r="D352" s="8">
        <f>SUM(D334:D350)</f>
        <v>382573</v>
      </c>
      <c r="E352" s="2"/>
      <c r="F352" s="15">
        <f>H352/J352</f>
        <v>1.6586462449280023E-2</v>
      </c>
      <c r="G352" s="2"/>
      <c r="H352" s="8">
        <f>SUM(H334:H350)</f>
        <v>6242</v>
      </c>
      <c r="I352" s="2"/>
      <c r="J352" s="8">
        <f>SUM(J334:J350)</f>
        <v>376331</v>
      </c>
      <c r="K352" s="2"/>
    </row>
    <row r="353" spans="1:11" x14ac:dyDescent="0.25">
      <c r="D353" s="2"/>
      <c r="E353" s="2"/>
      <c r="F353" s="2"/>
      <c r="G353" s="2"/>
      <c r="H353" s="2"/>
      <c r="I353" s="2"/>
      <c r="K353" s="2"/>
    </row>
    <row r="354" spans="1:11" x14ac:dyDescent="0.25">
      <c r="A354" t="s">
        <v>191</v>
      </c>
      <c r="B354" t="s">
        <v>3</v>
      </c>
      <c r="C354" t="s">
        <v>4</v>
      </c>
      <c r="D354" s="55">
        <v>2500</v>
      </c>
      <c r="E354" s="2"/>
      <c r="F354" s="37">
        <f t="shared" ref="F354:F386" si="32">H354/J354</f>
        <v>0</v>
      </c>
      <c r="G354" s="2"/>
      <c r="H354" s="12">
        <f t="shared" ref="H354:H386" si="33">D354-J354</f>
        <v>0</v>
      </c>
      <c r="I354" s="2"/>
      <c r="J354" s="12">
        <v>2500</v>
      </c>
      <c r="K354" s="2"/>
    </row>
    <row r="355" spans="1:11" x14ac:dyDescent="0.25">
      <c r="A355" t="s">
        <v>191</v>
      </c>
      <c r="B355" t="s">
        <v>57</v>
      </c>
      <c r="C355" t="s">
        <v>58</v>
      </c>
      <c r="D355" s="55">
        <f>ROUNDUP((92723.07),0)</f>
        <v>92724</v>
      </c>
      <c r="E355" s="2"/>
      <c r="F355" s="37">
        <f t="shared" si="32"/>
        <v>2.9980560955290197E-2</v>
      </c>
      <c r="G355" s="2"/>
      <c r="H355" s="12">
        <f t="shared" si="33"/>
        <v>2699</v>
      </c>
      <c r="I355" s="2"/>
      <c r="J355" s="12">
        <v>90025</v>
      </c>
      <c r="K355" s="2"/>
    </row>
    <row r="356" spans="1:11" x14ac:dyDescent="0.25">
      <c r="A356" t="s">
        <v>191</v>
      </c>
      <c r="B356" t="s">
        <v>30</v>
      </c>
      <c r="C356" t="s">
        <v>31</v>
      </c>
      <c r="D356" s="55">
        <f>ROUNDUP((456560.21),0)</f>
        <v>456561</v>
      </c>
      <c r="E356" s="2"/>
      <c r="F356" s="37">
        <f t="shared" si="32"/>
        <v>5.6790563530898605E-2</v>
      </c>
      <c r="G356" s="2"/>
      <c r="H356" s="12">
        <f t="shared" si="33"/>
        <v>24535</v>
      </c>
      <c r="I356" s="2"/>
      <c r="J356" s="12">
        <v>432026</v>
      </c>
      <c r="K356" s="2"/>
    </row>
    <row r="357" spans="1:11" x14ac:dyDescent="0.25">
      <c r="A357" t="s">
        <v>191</v>
      </c>
      <c r="B357" t="s">
        <v>32</v>
      </c>
      <c r="C357" t="s">
        <v>33</v>
      </c>
      <c r="D357" s="55">
        <f>ROUNDUP((41926.77),0)</f>
        <v>41927</v>
      </c>
      <c r="E357" s="2"/>
      <c r="F357" s="37">
        <f t="shared" si="32"/>
        <v>0.1182919022724848</v>
      </c>
      <c r="G357" s="2"/>
      <c r="H357" s="12">
        <f t="shared" si="33"/>
        <v>4435</v>
      </c>
      <c r="I357" s="2"/>
      <c r="J357" s="12">
        <v>37492</v>
      </c>
      <c r="K357" s="2"/>
    </row>
    <row r="358" spans="1:11" x14ac:dyDescent="0.25">
      <c r="A358" t="s">
        <v>191</v>
      </c>
      <c r="B358" t="s">
        <v>141</v>
      </c>
      <c r="C358" t="s">
        <v>142</v>
      </c>
      <c r="D358" s="55">
        <v>25500</v>
      </c>
      <c r="E358" s="2"/>
      <c r="F358" s="37">
        <f t="shared" si="32"/>
        <v>0</v>
      </c>
      <c r="G358" s="2"/>
      <c r="H358" s="12">
        <f t="shared" si="33"/>
        <v>0</v>
      </c>
      <c r="I358" s="2"/>
      <c r="J358" s="12">
        <v>25500</v>
      </c>
      <c r="K358" s="2"/>
    </row>
    <row r="359" spans="1:11" x14ac:dyDescent="0.25">
      <c r="A359" t="s">
        <v>191</v>
      </c>
      <c r="B359" t="s">
        <v>61</v>
      </c>
      <c r="C359" t="s">
        <v>62</v>
      </c>
      <c r="D359" s="55">
        <v>40000</v>
      </c>
      <c r="E359" s="2"/>
      <c r="F359" s="37">
        <f t="shared" si="32"/>
        <v>0</v>
      </c>
      <c r="G359" s="2"/>
      <c r="H359" s="12">
        <f t="shared" si="33"/>
        <v>0</v>
      </c>
      <c r="I359" s="2"/>
      <c r="J359" s="12">
        <v>40000</v>
      </c>
      <c r="K359" s="2"/>
    </row>
    <row r="360" spans="1:11" x14ac:dyDescent="0.25">
      <c r="A360" t="s">
        <v>191</v>
      </c>
      <c r="B360" t="s">
        <v>34</v>
      </c>
      <c r="C360" t="s">
        <v>35</v>
      </c>
      <c r="D360" s="55">
        <f>ROUNDUP((705.6),0)</f>
        <v>706</v>
      </c>
      <c r="E360" s="2"/>
      <c r="F360" s="37">
        <f t="shared" si="32"/>
        <v>-0.13902439024390245</v>
      </c>
      <c r="G360" s="2"/>
      <c r="H360" s="12">
        <f t="shared" si="33"/>
        <v>-114</v>
      </c>
      <c r="I360" s="2"/>
      <c r="J360" s="12">
        <v>820</v>
      </c>
      <c r="K360" s="2"/>
    </row>
    <row r="361" spans="1:11" x14ac:dyDescent="0.25">
      <c r="A361" t="s">
        <v>191</v>
      </c>
      <c r="B361" t="s">
        <v>9</v>
      </c>
      <c r="C361" t="s">
        <v>10</v>
      </c>
      <c r="D361" s="55">
        <f>ROUNDUP((47675.88),0)</f>
        <v>47676</v>
      </c>
      <c r="E361" s="2"/>
      <c r="F361" s="37">
        <f t="shared" si="32"/>
        <v>0.23174701596651681</v>
      </c>
      <c r="G361" s="2"/>
      <c r="H361" s="12">
        <f t="shared" si="33"/>
        <v>8970</v>
      </c>
      <c r="I361" s="2"/>
      <c r="J361" s="12">
        <v>38706</v>
      </c>
      <c r="K361" s="2"/>
    </row>
    <row r="362" spans="1:11" x14ac:dyDescent="0.25">
      <c r="A362" t="s">
        <v>191</v>
      </c>
      <c r="B362" t="s">
        <v>36</v>
      </c>
      <c r="C362" t="s">
        <v>37</v>
      </c>
      <c r="D362" s="55">
        <f>ROUNDUP((64383.42),0)</f>
        <v>64384</v>
      </c>
      <c r="E362" s="2"/>
      <c r="F362" s="37">
        <f t="shared" si="32"/>
        <v>5.2834693310221906E-2</v>
      </c>
      <c r="G362" s="2"/>
      <c r="H362" s="12">
        <f t="shared" si="33"/>
        <v>3231</v>
      </c>
      <c r="I362" s="2"/>
      <c r="J362" s="12">
        <v>61153</v>
      </c>
      <c r="K362" s="2"/>
    </row>
    <row r="363" spans="1:11" x14ac:dyDescent="0.25">
      <c r="A363" t="s">
        <v>191</v>
      </c>
      <c r="B363" t="s">
        <v>38</v>
      </c>
      <c r="C363" t="s">
        <v>39</v>
      </c>
      <c r="D363" s="55">
        <f>ROUNDUP((141328.87),0)</f>
        <v>141329</v>
      </c>
      <c r="E363" s="2"/>
      <c r="F363" s="37">
        <f t="shared" si="32"/>
        <v>0.19478729879615853</v>
      </c>
      <c r="G363" s="2"/>
      <c r="H363" s="12">
        <f t="shared" si="33"/>
        <v>23041</v>
      </c>
      <c r="I363" s="2"/>
      <c r="J363" s="12">
        <v>118288</v>
      </c>
      <c r="K363" s="2"/>
    </row>
    <row r="364" spans="1:11" ht="105" x14ac:dyDescent="0.25">
      <c r="A364" s="1" t="s">
        <v>0</v>
      </c>
      <c r="B364" s="1" t="s">
        <v>1</v>
      </c>
      <c r="C364" s="1" t="s">
        <v>2</v>
      </c>
      <c r="D364" s="5" t="s">
        <v>337</v>
      </c>
      <c r="E364" s="1"/>
      <c r="F364" s="5" t="s">
        <v>409</v>
      </c>
      <c r="G364" s="1"/>
      <c r="H364" s="5" t="s">
        <v>410</v>
      </c>
      <c r="I364" s="1"/>
      <c r="J364" s="4" t="s">
        <v>335</v>
      </c>
      <c r="K364" s="1"/>
    </row>
    <row r="365" spans="1:11" x14ac:dyDescent="0.25">
      <c r="A365" t="s">
        <v>191</v>
      </c>
      <c r="B365" t="s">
        <v>11</v>
      </c>
      <c r="C365" t="s">
        <v>12</v>
      </c>
      <c r="D365" s="55">
        <f>ROUNDUP((50238.32),0)</f>
        <v>50239</v>
      </c>
      <c r="E365" s="2"/>
      <c r="F365" s="37">
        <f t="shared" si="32"/>
        <v>5.0673414756566837E-2</v>
      </c>
      <c r="G365" s="2"/>
      <c r="H365" s="12">
        <f t="shared" si="33"/>
        <v>2423</v>
      </c>
      <c r="I365" s="2"/>
      <c r="J365" s="12">
        <v>47816</v>
      </c>
      <c r="K365" s="2"/>
    </row>
    <row r="366" spans="1:11" x14ac:dyDescent="0.25">
      <c r="A366" t="s">
        <v>191</v>
      </c>
      <c r="B366" t="s">
        <v>192</v>
      </c>
      <c r="C366" t="s">
        <v>193</v>
      </c>
      <c r="D366" s="55">
        <v>1000</v>
      </c>
      <c r="E366" s="2"/>
      <c r="F366" s="37">
        <f t="shared" si="32"/>
        <v>0.66666666666666663</v>
      </c>
      <c r="G366" s="2"/>
      <c r="H366" s="12">
        <f t="shared" si="33"/>
        <v>400</v>
      </c>
      <c r="I366" s="2"/>
      <c r="J366" s="12">
        <v>600</v>
      </c>
      <c r="K366" s="2"/>
    </row>
    <row r="367" spans="1:11" x14ac:dyDescent="0.25">
      <c r="A367" t="s">
        <v>191</v>
      </c>
      <c r="B367" t="s">
        <v>13</v>
      </c>
      <c r="C367" t="s">
        <v>14</v>
      </c>
      <c r="D367" s="55">
        <v>2000</v>
      </c>
      <c r="E367" s="2"/>
      <c r="F367" s="37">
        <f t="shared" si="32"/>
        <v>0.33333333333333331</v>
      </c>
      <c r="G367" s="2"/>
      <c r="H367" s="12">
        <f t="shared" si="33"/>
        <v>500</v>
      </c>
      <c r="I367" s="2"/>
      <c r="J367" s="12">
        <v>1500</v>
      </c>
      <c r="K367" s="2"/>
    </row>
    <row r="368" spans="1:11" x14ac:dyDescent="0.25">
      <c r="A368" t="s">
        <v>191</v>
      </c>
      <c r="B368" t="s">
        <v>15</v>
      </c>
      <c r="C368" t="s">
        <v>16</v>
      </c>
      <c r="D368" s="55">
        <v>8500</v>
      </c>
      <c r="E368" s="2"/>
      <c r="F368" s="37">
        <f t="shared" si="32"/>
        <v>0</v>
      </c>
      <c r="G368" s="2"/>
      <c r="H368" s="12">
        <f t="shared" si="33"/>
        <v>0</v>
      </c>
      <c r="I368" s="2"/>
      <c r="J368" s="12">
        <v>8500</v>
      </c>
      <c r="K368" s="2"/>
    </row>
    <row r="369" spans="1:12" x14ac:dyDescent="0.25">
      <c r="A369" t="s">
        <v>191</v>
      </c>
      <c r="B369" t="s">
        <v>19</v>
      </c>
      <c r="C369" t="s">
        <v>20</v>
      </c>
      <c r="D369" s="55">
        <v>150</v>
      </c>
      <c r="E369" s="2"/>
      <c r="F369" s="37">
        <f t="shared" si="32"/>
        <v>0</v>
      </c>
      <c r="G369" s="2"/>
      <c r="H369" s="12">
        <f t="shared" si="33"/>
        <v>0</v>
      </c>
      <c r="I369" s="2"/>
      <c r="J369" s="12">
        <v>150</v>
      </c>
      <c r="K369" s="2"/>
    </row>
    <row r="370" spans="1:12" x14ac:dyDescent="0.25">
      <c r="A370" t="s">
        <v>191</v>
      </c>
      <c r="B370" t="s">
        <v>21</v>
      </c>
      <c r="C370" t="s">
        <v>22</v>
      </c>
      <c r="D370" s="55">
        <v>1500</v>
      </c>
      <c r="E370" s="2"/>
      <c r="F370" s="37">
        <f t="shared" si="32"/>
        <v>0.5</v>
      </c>
      <c r="G370" s="2"/>
      <c r="H370" s="12">
        <f t="shared" si="33"/>
        <v>500</v>
      </c>
      <c r="I370" s="2"/>
      <c r="J370" s="12">
        <v>1000</v>
      </c>
      <c r="K370" s="2"/>
    </row>
    <row r="371" spans="1:12" x14ac:dyDescent="0.25">
      <c r="A371" t="s">
        <v>191</v>
      </c>
      <c r="B371" t="s">
        <v>194</v>
      </c>
      <c r="C371" t="s">
        <v>195</v>
      </c>
      <c r="D371" s="55">
        <v>1500</v>
      </c>
      <c r="E371" s="2"/>
      <c r="F371" s="37">
        <f t="shared" si="32"/>
        <v>0</v>
      </c>
      <c r="G371" s="2"/>
      <c r="H371" s="12">
        <f t="shared" si="33"/>
        <v>0</v>
      </c>
      <c r="I371" s="2"/>
      <c r="J371" s="12">
        <v>1500</v>
      </c>
      <c r="K371" s="2"/>
    </row>
    <row r="372" spans="1:12" x14ac:dyDescent="0.25">
      <c r="A372" t="s">
        <v>191</v>
      </c>
      <c r="B372" t="s">
        <v>153</v>
      </c>
      <c r="C372" t="s">
        <v>154</v>
      </c>
      <c r="D372" s="55">
        <v>10750</v>
      </c>
      <c r="E372" s="2"/>
      <c r="F372" s="37">
        <f t="shared" si="32"/>
        <v>0</v>
      </c>
      <c r="G372" s="2"/>
      <c r="H372" s="12">
        <f t="shared" si="33"/>
        <v>0</v>
      </c>
      <c r="I372" s="2"/>
      <c r="J372" s="12">
        <v>10750</v>
      </c>
      <c r="K372" s="2"/>
    </row>
    <row r="373" spans="1:12" x14ac:dyDescent="0.25">
      <c r="A373" t="s">
        <v>191</v>
      </c>
      <c r="B373" t="s">
        <v>40</v>
      </c>
      <c r="C373" t="s">
        <v>41</v>
      </c>
      <c r="D373" s="55">
        <v>1600</v>
      </c>
      <c r="E373" s="2"/>
      <c r="F373" s="37">
        <f t="shared" si="32"/>
        <v>0</v>
      </c>
      <c r="G373" s="2"/>
      <c r="H373" s="12">
        <f t="shared" si="33"/>
        <v>0</v>
      </c>
      <c r="I373" s="2"/>
      <c r="J373" s="12">
        <v>1600</v>
      </c>
      <c r="K373" s="2"/>
    </row>
    <row r="374" spans="1:12" x14ac:dyDescent="0.25">
      <c r="A374" t="s">
        <v>191</v>
      </c>
      <c r="B374" t="s">
        <v>111</v>
      </c>
      <c r="C374" t="s">
        <v>112</v>
      </c>
      <c r="D374" s="55">
        <v>5000</v>
      </c>
      <c r="E374" s="2"/>
      <c r="F374" s="37">
        <f t="shared" si="32"/>
        <v>0.66666666666666663</v>
      </c>
      <c r="G374" s="2"/>
      <c r="H374" s="12">
        <f t="shared" si="33"/>
        <v>2000</v>
      </c>
      <c r="I374" s="2"/>
      <c r="J374" s="12">
        <v>3000</v>
      </c>
      <c r="K374" s="2"/>
    </row>
    <row r="375" spans="1:12" x14ac:dyDescent="0.25">
      <c r="A375" t="s">
        <v>191</v>
      </c>
      <c r="B375" t="s">
        <v>196</v>
      </c>
      <c r="C375" t="s">
        <v>197</v>
      </c>
      <c r="D375" s="55">
        <v>15000</v>
      </c>
      <c r="E375" s="2"/>
      <c r="F375" s="37">
        <f t="shared" si="32"/>
        <v>0</v>
      </c>
      <c r="G375" s="2"/>
      <c r="H375" s="12">
        <f t="shared" si="33"/>
        <v>0</v>
      </c>
      <c r="I375" s="2"/>
      <c r="J375" s="12">
        <v>15000</v>
      </c>
      <c r="K375" s="2"/>
    </row>
    <row r="376" spans="1:12" x14ac:dyDescent="0.25">
      <c r="A376" t="s">
        <v>191</v>
      </c>
      <c r="B376" t="s">
        <v>198</v>
      </c>
      <c r="C376" t="s">
        <v>199</v>
      </c>
      <c r="D376" s="55">
        <v>25000</v>
      </c>
      <c r="E376" s="2"/>
      <c r="F376" s="37">
        <f t="shared" si="32"/>
        <v>0</v>
      </c>
      <c r="G376" s="2"/>
      <c r="H376" s="12">
        <f t="shared" si="33"/>
        <v>0</v>
      </c>
      <c r="I376" s="2"/>
      <c r="J376" s="12">
        <v>25000</v>
      </c>
      <c r="K376" s="2"/>
    </row>
    <row r="377" spans="1:12" x14ac:dyDescent="0.25">
      <c r="A377" t="s">
        <v>191</v>
      </c>
      <c r="B377" t="s">
        <v>200</v>
      </c>
      <c r="C377" t="s">
        <v>201</v>
      </c>
      <c r="D377" s="55">
        <v>5000</v>
      </c>
      <c r="E377" s="2"/>
      <c r="F377" s="37">
        <f t="shared" si="32"/>
        <v>0</v>
      </c>
      <c r="G377" s="2"/>
      <c r="H377" s="12">
        <f t="shared" si="33"/>
        <v>0</v>
      </c>
      <c r="I377" s="2"/>
      <c r="J377" s="12">
        <v>5000</v>
      </c>
      <c r="K377" s="2"/>
    </row>
    <row r="378" spans="1:12" x14ac:dyDescent="0.25">
      <c r="A378" t="s">
        <v>191</v>
      </c>
      <c r="B378" t="s">
        <v>169</v>
      </c>
      <c r="C378" t="s">
        <v>170</v>
      </c>
      <c r="D378" s="56">
        <v>80000</v>
      </c>
      <c r="E378" s="2"/>
      <c r="F378" s="37">
        <f t="shared" si="32"/>
        <v>0.45454545454545453</v>
      </c>
      <c r="G378" s="2"/>
      <c r="H378" s="12">
        <f t="shared" si="33"/>
        <v>25000</v>
      </c>
      <c r="I378" s="2"/>
      <c r="J378" s="12">
        <v>55000</v>
      </c>
      <c r="K378" s="2"/>
      <c r="L378" t="s">
        <v>412</v>
      </c>
    </row>
    <row r="379" spans="1:12" x14ac:dyDescent="0.25">
      <c r="A379" t="s">
        <v>191</v>
      </c>
      <c r="B379" t="s">
        <v>202</v>
      </c>
      <c r="C379" t="s">
        <v>203</v>
      </c>
      <c r="D379" s="56">
        <v>20000</v>
      </c>
      <c r="E379" s="2"/>
      <c r="F379" s="37">
        <f t="shared" si="32"/>
        <v>0.33333333333333331</v>
      </c>
      <c r="G379" s="2"/>
      <c r="H379" s="12">
        <f t="shared" si="33"/>
        <v>5000</v>
      </c>
      <c r="I379" s="2"/>
      <c r="J379" s="12">
        <v>15000</v>
      </c>
      <c r="K379" s="2"/>
    </row>
    <row r="380" spans="1:12" x14ac:dyDescent="0.25">
      <c r="A380" t="s">
        <v>191</v>
      </c>
      <c r="B380" t="s">
        <v>85</v>
      </c>
      <c r="C380" t="s">
        <v>86</v>
      </c>
      <c r="D380" s="56">
        <v>9000</v>
      </c>
      <c r="E380" s="2"/>
      <c r="F380" s="37">
        <f t="shared" si="32"/>
        <v>9.2233009708737865E-2</v>
      </c>
      <c r="G380" s="2"/>
      <c r="H380" s="12">
        <f t="shared" si="33"/>
        <v>760</v>
      </c>
      <c r="I380" s="2"/>
      <c r="J380" s="12">
        <v>8240</v>
      </c>
      <c r="K380" s="2"/>
    </row>
    <row r="381" spans="1:12" x14ac:dyDescent="0.25">
      <c r="A381" t="s">
        <v>191</v>
      </c>
      <c r="B381" t="s">
        <v>204</v>
      </c>
      <c r="C381" t="s">
        <v>205</v>
      </c>
      <c r="D381" s="56">
        <v>6000</v>
      </c>
      <c r="E381" s="2"/>
      <c r="F381" s="37">
        <f t="shared" si="32"/>
        <v>0.33333333333333331</v>
      </c>
      <c r="G381" s="2"/>
      <c r="H381" s="12">
        <f t="shared" si="33"/>
        <v>1500</v>
      </c>
      <c r="I381" s="2"/>
      <c r="J381" s="12">
        <v>4500</v>
      </c>
      <c r="K381" s="2"/>
    </row>
    <row r="382" spans="1:12" x14ac:dyDescent="0.25">
      <c r="A382" t="s">
        <v>191</v>
      </c>
      <c r="B382" t="s">
        <v>157</v>
      </c>
      <c r="C382" t="s">
        <v>158</v>
      </c>
      <c r="D382" s="56">
        <v>32000</v>
      </c>
      <c r="E382" s="2"/>
      <c r="F382" s="37">
        <f t="shared" si="32"/>
        <v>-9.379247847757137E-2</v>
      </c>
      <c r="G382" s="2"/>
      <c r="H382" s="12">
        <f t="shared" si="33"/>
        <v>-3312</v>
      </c>
      <c r="I382" s="2"/>
      <c r="J382" s="12">
        <v>35312</v>
      </c>
      <c r="K382" s="2"/>
    </row>
    <row r="383" spans="1:12" x14ac:dyDescent="0.25">
      <c r="A383" t="s">
        <v>191</v>
      </c>
      <c r="B383" t="s">
        <v>159</v>
      </c>
      <c r="C383" t="s">
        <v>160</v>
      </c>
      <c r="D383" s="56">
        <v>6500</v>
      </c>
      <c r="E383" s="2"/>
      <c r="F383" s="37">
        <f t="shared" si="32"/>
        <v>0.3</v>
      </c>
      <c r="G383" s="2"/>
      <c r="H383" s="12">
        <f t="shared" si="33"/>
        <v>1500</v>
      </c>
      <c r="I383" s="2"/>
      <c r="J383" s="12">
        <v>5000</v>
      </c>
      <c r="K383" s="2"/>
    </row>
    <row r="384" spans="1:12" x14ac:dyDescent="0.25">
      <c r="A384" t="s">
        <v>191</v>
      </c>
      <c r="B384" t="s">
        <v>23</v>
      </c>
      <c r="C384" t="s">
        <v>24</v>
      </c>
      <c r="D384" s="56">
        <v>5200</v>
      </c>
      <c r="E384" s="2"/>
      <c r="F384" s="37">
        <f t="shared" si="32"/>
        <v>0.3</v>
      </c>
      <c r="G384" s="2"/>
      <c r="H384" s="12">
        <f t="shared" si="33"/>
        <v>1200</v>
      </c>
      <c r="I384" s="2"/>
      <c r="J384" s="12">
        <v>4000</v>
      </c>
      <c r="K384" s="2"/>
    </row>
    <row r="385" spans="1:11" x14ac:dyDescent="0.25">
      <c r="A385" t="s">
        <v>191</v>
      </c>
      <c r="B385" t="s">
        <v>65</v>
      </c>
      <c r="C385" t="s">
        <v>66</v>
      </c>
      <c r="D385" s="56">
        <v>665</v>
      </c>
      <c r="E385" s="2"/>
      <c r="F385" s="37">
        <f t="shared" si="32"/>
        <v>0.33</v>
      </c>
      <c r="G385" s="2"/>
      <c r="H385" s="12">
        <f t="shared" si="33"/>
        <v>165</v>
      </c>
      <c r="I385" s="2"/>
      <c r="J385" s="12">
        <v>500</v>
      </c>
      <c r="K385" s="2"/>
    </row>
    <row r="386" spans="1:11" x14ac:dyDescent="0.25">
      <c r="A386" t="s">
        <v>191</v>
      </c>
      <c r="B386" t="s">
        <v>44</v>
      </c>
      <c r="C386" t="s">
        <v>45</v>
      </c>
      <c r="D386" s="56">
        <v>500</v>
      </c>
      <c r="E386" s="2"/>
      <c r="F386" s="37">
        <f t="shared" si="32"/>
        <v>0</v>
      </c>
      <c r="G386" s="2"/>
      <c r="H386" s="12">
        <f t="shared" si="33"/>
        <v>0</v>
      </c>
      <c r="I386" s="2"/>
      <c r="J386" s="12">
        <v>500</v>
      </c>
      <c r="K386" s="2"/>
    </row>
    <row r="387" spans="1:11" x14ac:dyDescent="0.25">
      <c r="A387" t="s">
        <v>191</v>
      </c>
      <c r="B387" t="s">
        <v>206</v>
      </c>
      <c r="C387" t="s">
        <v>207</v>
      </c>
      <c r="D387" s="56">
        <v>1200</v>
      </c>
      <c r="E387" s="2"/>
      <c r="F387" s="37">
        <f t="shared" ref="F387:F404" si="34">H387/J387</f>
        <v>0</v>
      </c>
      <c r="G387" s="2"/>
      <c r="H387" s="12">
        <f t="shared" ref="H387:H404" si="35">D387-J387</f>
        <v>0</v>
      </c>
      <c r="I387" s="2"/>
      <c r="J387" s="12">
        <v>1200</v>
      </c>
      <c r="K387" s="2"/>
    </row>
    <row r="388" spans="1:11" x14ac:dyDescent="0.25">
      <c r="A388" t="s">
        <v>191</v>
      </c>
      <c r="B388" t="s">
        <v>67</v>
      </c>
      <c r="C388" t="s">
        <v>68</v>
      </c>
      <c r="D388" s="56">
        <v>28000</v>
      </c>
      <c r="E388" s="2"/>
      <c r="F388" s="37">
        <f t="shared" si="34"/>
        <v>6.0606060606060608E-2</v>
      </c>
      <c r="G388" s="2"/>
      <c r="H388" s="12">
        <f t="shared" si="35"/>
        <v>1600</v>
      </c>
      <c r="I388" s="2"/>
      <c r="J388" s="12">
        <v>26400</v>
      </c>
      <c r="K388" s="2"/>
    </row>
    <row r="389" spans="1:11" x14ac:dyDescent="0.25">
      <c r="A389" t="s">
        <v>191</v>
      </c>
      <c r="B389" t="s">
        <v>121</v>
      </c>
      <c r="C389" t="s">
        <v>173</v>
      </c>
      <c r="D389" s="56">
        <f>500*1.14</f>
        <v>570</v>
      </c>
      <c r="E389" s="2"/>
      <c r="F389" s="37">
        <f t="shared" si="34"/>
        <v>0.14000000000000001</v>
      </c>
      <c r="G389" s="2"/>
      <c r="H389" s="12">
        <f t="shared" si="35"/>
        <v>70</v>
      </c>
      <c r="I389" s="2"/>
      <c r="J389" s="12">
        <v>500</v>
      </c>
      <c r="K389" s="2"/>
    </row>
    <row r="390" spans="1:11" x14ac:dyDescent="0.25">
      <c r="A390" t="s">
        <v>191</v>
      </c>
      <c r="B390" t="s">
        <v>123</v>
      </c>
      <c r="C390" t="s">
        <v>124</v>
      </c>
      <c r="D390" s="56">
        <v>4020</v>
      </c>
      <c r="E390" s="2"/>
      <c r="F390" s="37">
        <f t="shared" si="34"/>
        <v>0</v>
      </c>
      <c r="G390" s="2"/>
      <c r="H390" s="12">
        <f t="shared" si="35"/>
        <v>0</v>
      </c>
      <c r="I390" s="2"/>
      <c r="J390" s="12">
        <v>4020</v>
      </c>
      <c r="K390" s="2"/>
    </row>
    <row r="391" spans="1:11" x14ac:dyDescent="0.25">
      <c r="A391" t="s">
        <v>191</v>
      </c>
      <c r="B391" t="s">
        <v>125</v>
      </c>
      <c r="C391" t="s">
        <v>126</v>
      </c>
      <c r="D391" s="56">
        <f>ROUNDUP((612*1.04),0)</f>
        <v>637</v>
      </c>
      <c r="E391" s="2"/>
      <c r="F391" s="37">
        <f t="shared" si="34"/>
        <v>4.084967320261438E-2</v>
      </c>
      <c r="G391" s="2"/>
      <c r="H391" s="12">
        <f t="shared" si="35"/>
        <v>25</v>
      </c>
      <c r="I391" s="2"/>
      <c r="J391" s="12">
        <v>612</v>
      </c>
      <c r="K391" s="2"/>
    </row>
    <row r="392" spans="1:11" x14ac:dyDescent="0.25">
      <c r="A392" t="s">
        <v>191</v>
      </c>
      <c r="B392" t="s">
        <v>208</v>
      </c>
      <c r="C392" t="s">
        <v>209</v>
      </c>
      <c r="D392" s="56">
        <v>25000</v>
      </c>
      <c r="E392" s="2"/>
      <c r="F392" s="37">
        <f t="shared" si="34"/>
        <v>0</v>
      </c>
      <c r="G392" s="2"/>
      <c r="H392" s="12">
        <f t="shared" si="35"/>
        <v>0</v>
      </c>
      <c r="I392" s="2"/>
      <c r="J392" s="12">
        <v>25000</v>
      </c>
      <c r="K392" s="2"/>
    </row>
    <row r="393" spans="1:11" x14ac:dyDescent="0.25">
      <c r="A393" t="s">
        <v>191</v>
      </c>
      <c r="B393" t="s">
        <v>69</v>
      </c>
      <c r="C393" t="s">
        <v>70</v>
      </c>
      <c r="D393" s="56">
        <v>12000</v>
      </c>
      <c r="E393" s="2"/>
      <c r="F393" s="37">
        <f t="shared" si="34"/>
        <v>0.5</v>
      </c>
      <c r="G393" s="2"/>
      <c r="H393" s="12">
        <f t="shared" si="35"/>
        <v>4000</v>
      </c>
      <c r="I393" s="2"/>
      <c r="J393" s="12">
        <v>8000</v>
      </c>
      <c r="K393" s="2"/>
    </row>
    <row r="394" spans="1:11" x14ac:dyDescent="0.25">
      <c r="A394" t="s">
        <v>191</v>
      </c>
      <c r="B394" t="s">
        <v>210</v>
      </c>
      <c r="C394" t="s">
        <v>211</v>
      </c>
      <c r="D394" s="56">
        <v>5000</v>
      </c>
      <c r="E394" s="2"/>
      <c r="F394" s="37">
        <f t="shared" si="34"/>
        <v>0</v>
      </c>
      <c r="G394" s="2"/>
      <c r="H394" s="12">
        <f t="shared" si="35"/>
        <v>0</v>
      </c>
      <c r="I394" s="2"/>
      <c r="J394" s="12">
        <v>5000</v>
      </c>
      <c r="K394" s="2"/>
    </row>
    <row r="395" spans="1:11" x14ac:dyDescent="0.25">
      <c r="A395" t="s">
        <v>191</v>
      </c>
      <c r="B395" t="s">
        <v>212</v>
      </c>
      <c r="C395" t="s">
        <v>213</v>
      </c>
      <c r="D395" s="56">
        <v>1500</v>
      </c>
      <c r="E395" s="2"/>
      <c r="F395" s="37">
        <f t="shared" si="34"/>
        <v>0</v>
      </c>
      <c r="G395" s="2"/>
      <c r="H395" s="12">
        <f t="shared" si="35"/>
        <v>0</v>
      </c>
      <c r="I395" s="2"/>
      <c r="J395" s="12">
        <v>1500</v>
      </c>
      <c r="K395" s="2"/>
    </row>
    <row r="396" spans="1:11" x14ac:dyDescent="0.25">
      <c r="A396" t="s">
        <v>191</v>
      </c>
      <c r="B396" t="s">
        <v>214</v>
      </c>
      <c r="C396" t="s">
        <v>215</v>
      </c>
      <c r="D396" s="56">
        <v>5000</v>
      </c>
      <c r="E396" s="2"/>
      <c r="F396" s="37">
        <f t="shared" si="34"/>
        <v>0</v>
      </c>
      <c r="G396" s="2"/>
      <c r="H396" s="12">
        <f t="shared" si="35"/>
        <v>0</v>
      </c>
      <c r="I396" s="2"/>
      <c r="J396" s="12">
        <v>5000</v>
      </c>
      <c r="K396" s="2"/>
    </row>
    <row r="397" spans="1:11" x14ac:dyDescent="0.25">
      <c r="A397" t="s">
        <v>191</v>
      </c>
      <c r="B397" t="s">
        <v>216</v>
      </c>
      <c r="C397" t="s">
        <v>217</v>
      </c>
      <c r="D397" s="56">
        <v>6500</v>
      </c>
      <c r="E397" s="2"/>
      <c r="F397" s="37">
        <f t="shared" si="34"/>
        <v>0</v>
      </c>
      <c r="G397" s="2"/>
      <c r="H397" s="12">
        <f t="shared" si="35"/>
        <v>0</v>
      </c>
      <c r="I397" s="2"/>
      <c r="J397" s="12">
        <v>6500</v>
      </c>
      <c r="K397" s="2"/>
    </row>
    <row r="398" spans="1:11" x14ac:dyDescent="0.25">
      <c r="A398" t="s">
        <v>191</v>
      </c>
      <c r="B398" t="s">
        <v>174</v>
      </c>
      <c r="C398" t="s">
        <v>175</v>
      </c>
      <c r="D398" s="56">
        <v>2500</v>
      </c>
      <c r="E398" s="2"/>
      <c r="F398" s="37">
        <f t="shared" si="34"/>
        <v>0.66666666666666663</v>
      </c>
      <c r="G398" s="2"/>
      <c r="H398" s="12">
        <f t="shared" si="35"/>
        <v>1000</v>
      </c>
      <c r="I398" s="2"/>
      <c r="J398" s="12">
        <v>1500</v>
      </c>
      <c r="K398" s="2"/>
    </row>
    <row r="399" spans="1:11" x14ac:dyDescent="0.25">
      <c r="A399" t="s">
        <v>191</v>
      </c>
      <c r="B399" t="s">
        <v>218</v>
      </c>
      <c r="C399" t="s">
        <v>219</v>
      </c>
      <c r="D399" s="56">
        <v>10000</v>
      </c>
      <c r="E399" s="2"/>
      <c r="F399" s="37">
        <f t="shared" si="34"/>
        <v>0.53846153846153844</v>
      </c>
      <c r="G399" s="2"/>
      <c r="H399" s="12">
        <f t="shared" si="35"/>
        <v>3500</v>
      </c>
      <c r="I399" s="2"/>
      <c r="J399" s="12">
        <v>6500</v>
      </c>
      <c r="K399" s="2"/>
    </row>
    <row r="400" spans="1:11" x14ac:dyDescent="0.25">
      <c r="A400" t="s">
        <v>191</v>
      </c>
      <c r="B400" t="s">
        <v>220</v>
      </c>
      <c r="C400" t="s">
        <v>221</v>
      </c>
      <c r="D400" s="56">
        <v>3000</v>
      </c>
      <c r="E400" s="2"/>
      <c r="F400" s="37">
        <f t="shared" si="34"/>
        <v>0</v>
      </c>
      <c r="G400" s="2"/>
      <c r="H400" s="12">
        <f t="shared" si="35"/>
        <v>0</v>
      </c>
      <c r="I400" s="2"/>
      <c r="J400" s="12">
        <v>3000</v>
      </c>
      <c r="K400" s="2"/>
    </row>
    <row r="401" spans="1:12" ht="105" x14ac:dyDescent="0.25">
      <c r="A401" s="1" t="s">
        <v>0</v>
      </c>
      <c r="B401" s="1" t="s">
        <v>1</v>
      </c>
      <c r="C401" s="1" t="s">
        <v>2</v>
      </c>
      <c r="D401" s="5" t="s">
        <v>337</v>
      </c>
      <c r="E401" s="1"/>
      <c r="F401" s="5" t="s">
        <v>409</v>
      </c>
      <c r="G401" s="1"/>
      <c r="H401" s="5" t="s">
        <v>410</v>
      </c>
      <c r="I401" s="1"/>
      <c r="J401" s="4" t="s">
        <v>335</v>
      </c>
      <c r="K401" s="1"/>
    </row>
    <row r="402" spans="1:12" x14ac:dyDescent="0.25">
      <c r="A402" t="s">
        <v>191</v>
      </c>
      <c r="B402" t="s">
        <v>222</v>
      </c>
      <c r="C402" t="s">
        <v>223</v>
      </c>
      <c r="D402" s="56">
        <v>35000</v>
      </c>
      <c r="E402" s="2"/>
      <c r="F402" s="37">
        <f t="shared" si="34"/>
        <v>0</v>
      </c>
      <c r="G402" s="2"/>
      <c r="H402" s="12">
        <f t="shared" si="35"/>
        <v>0</v>
      </c>
      <c r="I402" s="2"/>
      <c r="J402" s="12">
        <v>35000</v>
      </c>
      <c r="K402" s="2"/>
    </row>
    <row r="403" spans="1:12" x14ac:dyDescent="0.25">
      <c r="A403" t="s">
        <v>191</v>
      </c>
      <c r="B403" t="s">
        <v>71</v>
      </c>
      <c r="C403" t="s">
        <v>72</v>
      </c>
      <c r="D403" s="56">
        <f>185500+250000</f>
        <v>435500</v>
      </c>
      <c r="E403" s="2"/>
      <c r="F403" s="37">
        <f t="shared" si="34"/>
        <v>2.3320581484315226</v>
      </c>
      <c r="G403" s="2"/>
      <c r="H403" s="12">
        <f t="shared" si="35"/>
        <v>304800</v>
      </c>
      <c r="I403" s="2"/>
      <c r="J403" s="12">
        <v>130700</v>
      </c>
      <c r="K403" s="2"/>
      <c r="L403" t="s">
        <v>440</v>
      </c>
    </row>
    <row r="404" spans="1:12" x14ac:dyDescent="0.25">
      <c r="A404" t="s">
        <v>191</v>
      </c>
      <c r="B404" t="s">
        <v>224</v>
      </c>
      <c r="C404" t="s">
        <v>225</v>
      </c>
      <c r="D404" s="55">
        <v>0</v>
      </c>
      <c r="E404" s="2"/>
      <c r="F404" s="37">
        <f t="shared" si="34"/>
        <v>-1</v>
      </c>
      <c r="G404" s="2"/>
      <c r="H404" s="12">
        <f t="shared" si="35"/>
        <v>-475000</v>
      </c>
      <c r="I404" s="2"/>
      <c r="J404" s="12">
        <v>475000</v>
      </c>
      <c r="K404" s="2"/>
    </row>
    <row r="405" spans="1:12" x14ac:dyDescent="0.25">
      <c r="D405" s="2"/>
      <c r="E405" s="2"/>
      <c r="F405" s="2"/>
      <c r="G405" s="2"/>
      <c r="H405" s="2"/>
      <c r="I405" s="2"/>
      <c r="K405" s="2"/>
    </row>
    <row r="406" spans="1:12" x14ac:dyDescent="0.25">
      <c r="A406" t="s">
        <v>5</v>
      </c>
      <c r="B406" t="s">
        <v>5</v>
      </c>
      <c r="C406" s="1" t="s">
        <v>384</v>
      </c>
      <c r="D406" s="8">
        <f>SUM(D354:D404)</f>
        <v>1775838</v>
      </c>
      <c r="E406" s="2"/>
      <c r="F406" s="15">
        <f>H406/J406</f>
        <v>-3.0343833439808673E-2</v>
      </c>
      <c r="G406" s="2"/>
      <c r="H406" s="8">
        <f>SUM(H354:H404)</f>
        <v>-55572</v>
      </c>
      <c r="I406" s="2"/>
      <c r="J406" s="8">
        <f>SUM(J354:J404)</f>
        <v>1831410</v>
      </c>
      <c r="K406" s="2"/>
    </row>
    <row r="407" spans="1:12" x14ac:dyDescent="0.25">
      <c r="D407" s="2"/>
      <c r="E407" s="2"/>
      <c r="F407" s="2"/>
      <c r="G407" s="2"/>
      <c r="H407" s="2"/>
      <c r="I407" s="2"/>
      <c r="K407" s="2"/>
    </row>
    <row r="408" spans="1:12" x14ac:dyDescent="0.25">
      <c r="A408" t="s">
        <v>226</v>
      </c>
      <c r="B408" t="s">
        <v>61</v>
      </c>
      <c r="C408" t="s">
        <v>75</v>
      </c>
      <c r="D408" s="12">
        <v>65000</v>
      </c>
      <c r="E408" s="2"/>
      <c r="F408" s="37">
        <f t="shared" ref="F408:F414" si="36">H408/J408</f>
        <v>0</v>
      </c>
      <c r="G408" s="2"/>
      <c r="H408" s="12">
        <f t="shared" ref="H408:H414" si="37">D408-J408</f>
        <v>0</v>
      </c>
      <c r="I408" s="2"/>
      <c r="J408" s="12">
        <v>65000</v>
      </c>
      <c r="K408" s="2"/>
    </row>
    <row r="409" spans="1:12" x14ac:dyDescent="0.25">
      <c r="A409" t="s">
        <v>226</v>
      </c>
      <c r="B409" t="s">
        <v>9</v>
      </c>
      <c r="C409" t="s">
        <v>10</v>
      </c>
      <c r="D409" s="12">
        <f>ROUNDUP((5435.46),0)</f>
        <v>5436</v>
      </c>
      <c r="E409" s="2"/>
      <c r="F409" s="37">
        <f t="shared" si="36"/>
        <v>2.4383301707779887</v>
      </c>
      <c r="G409" s="2"/>
      <c r="H409" s="12">
        <f t="shared" si="37"/>
        <v>3855</v>
      </c>
      <c r="I409" s="2"/>
      <c r="J409" s="12">
        <v>1581</v>
      </c>
      <c r="K409" s="2"/>
    </row>
    <row r="410" spans="1:12" x14ac:dyDescent="0.25">
      <c r="A410" t="s">
        <v>226</v>
      </c>
      <c r="B410" t="s">
        <v>36</v>
      </c>
      <c r="C410" t="s">
        <v>37</v>
      </c>
      <c r="D410" s="12">
        <f>ROUNDUP((6630),0)</f>
        <v>6630</v>
      </c>
      <c r="E410" s="2"/>
      <c r="F410" s="37">
        <f t="shared" si="36"/>
        <v>0</v>
      </c>
      <c r="G410" s="2"/>
      <c r="H410" s="12">
        <f t="shared" si="37"/>
        <v>0</v>
      </c>
      <c r="I410" s="2"/>
      <c r="J410" s="12">
        <v>6630</v>
      </c>
      <c r="K410" s="2"/>
    </row>
    <row r="411" spans="1:12" x14ac:dyDescent="0.25">
      <c r="A411" t="s">
        <v>226</v>
      </c>
      <c r="B411" t="s">
        <v>11</v>
      </c>
      <c r="C411" t="s">
        <v>12</v>
      </c>
      <c r="D411" s="12">
        <f>ROUNDUP((4972.5),0)</f>
        <v>4973</v>
      </c>
      <c r="E411" s="2"/>
      <c r="F411" s="37">
        <f t="shared" si="36"/>
        <v>0</v>
      </c>
      <c r="G411" s="2"/>
      <c r="H411" s="12">
        <f t="shared" si="37"/>
        <v>0</v>
      </c>
      <c r="I411" s="2"/>
      <c r="J411" s="12">
        <v>4973</v>
      </c>
      <c r="K411" s="2"/>
    </row>
    <row r="412" spans="1:12" x14ac:dyDescent="0.25">
      <c r="A412" t="s">
        <v>226</v>
      </c>
      <c r="B412" t="s">
        <v>227</v>
      </c>
      <c r="C412" t="s">
        <v>228</v>
      </c>
      <c r="D412" s="12">
        <v>312000</v>
      </c>
      <c r="E412" s="2"/>
      <c r="F412" s="37">
        <f t="shared" si="36"/>
        <v>0.62205158331990285</v>
      </c>
      <c r="G412" s="2"/>
      <c r="H412" s="12">
        <f t="shared" si="37"/>
        <v>119651</v>
      </c>
      <c r="I412" s="2"/>
      <c r="J412" s="12">
        <v>192349</v>
      </c>
      <c r="K412" s="2"/>
      <c r="L412" t="s">
        <v>385</v>
      </c>
    </row>
    <row r="413" spans="1:12" x14ac:dyDescent="0.25">
      <c r="A413" t="s">
        <v>226</v>
      </c>
      <c r="B413" t="s">
        <v>169</v>
      </c>
      <c r="C413" t="s">
        <v>170</v>
      </c>
      <c r="D413" s="12">
        <v>55000</v>
      </c>
      <c r="E413" s="2"/>
      <c r="F413" s="37">
        <f t="shared" si="36"/>
        <v>0.5714285714285714</v>
      </c>
      <c r="G413" s="2"/>
      <c r="H413" s="12">
        <f t="shared" si="37"/>
        <v>20000</v>
      </c>
      <c r="I413" s="2"/>
      <c r="J413" s="12">
        <v>35000</v>
      </c>
      <c r="K413" s="2"/>
    </row>
    <row r="414" spans="1:12" x14ac:dyDescent="0.25">
      <c r="A414" t="s">
        <v>226</v>
      </c>
      <c r="B414" t="s">
        <v>51</v>
      </c>
      <c r="C414" t="s">
        <v>52</v>
      </c>
      <c r="D414" s="12">
        <v>50000</v>
      </c>
      <c r="E414" s="2"/>
      <c r="F414" s="37">
        <f t="shared" si="36"/>
        <v>0</v>
      </c>
      <c r="G414" s="2"/>
      <c r="H414" s="12">
        <f t="shared" si="37"/>
        <v>0</v>
      </c>
      <c r="I414" s="2"/>
      <c r="J414" s="12">
        <v>50000</v>
      </c>
      <c r="K414" s="2"/>
    </row>
    <row r="415" spans="1:12" x14ac:dyDescent="0.25">
      <c r="D415" s="2"/>
      <c r="E415" s="2"/>
      <c r="F415" s="2"/>
      <c r="G415" s="2"/>
      <c r="H415" s="2"/>
      <c r="I415" s="2"/>
      <c r="K415" s="2"/>
    </row>
    <row r="416" spans="1:12" x14ac:dyDescent="0.25">
      <c r="A416" t="s">
        <v>5</v>
      </c>
      <c r="B416" t="s">
        <v>5</v>
      </c>
      <c r="C416" s="1" t="s">
        <v>383</v>
      </c>
      <c r="D416" s="8">
        <f>SUM(D408:D414)</f>
        <v>499039</v>
      </c>
      <c r="E416" s="2"/>
      <c r="F416" s="15">
        <f>H416/J416</f>
        <v>0.40363623067338333</v>
      </c>
      <c r="G416" s="2"/>
      <c r="H416" s="8">
        <f>SUM(H408:H414)</f>
        <v>143506</v>
      </c>
      <c r="I416" s="2"/>
      <c r="J416" s="8">
        <f>SUM(J408:J414)</f>
        <v>355533</v>
      </c>
      <c r="K416" s="2"/>
    </row>
    <row r="417" spans="1:11" x14ac:dyDescent="0.25">
      <c r="D417" s="2"/>
      <c r="E417" s="2"/>
      <c r="F417" s="2"/>
      <c r="G417" s="2"/>
      <c r="H417" s="2"/>
      <c r="I417" s="2"/>
      <c r="K417" s="2"/>
    </row>
    <row r="418" spans="1:11" x14ac:dyDescent="0.25">
      <c r="A418" t="s">
        <v>229</v>
      </c>
      <c r="B418" t="s">
        <v>30</v>
      </c>
      <c r="C418" t="s">
        <v>31</v>
      </c>
      <c r="D418" s="47">
        <f>ROUNDUP((225997.93),0)</f>
        <v>225998</v>
      </c>
      <c r="E418" s="2"/>
      <c r="F418" s="37">
        <f>H418/J418</f>
        <v>6.0440978429688853E-2</v>
      </c>
      <c r="G418" s="2"/>
      <c r="H418" s="12">
        <f t="shared" ref="H418:H448" si="38">D418-J418</f>
        <v>12881</v>
      </c>
      <c r="I418" s="2"/>
      <c r="J418" s="12">
        <v>213117</v>
      </c>
      <c r="K418" s="2"/>
    </row>
    <row r="419" spans="1:11" x14ac:dyDescent="0.25">
      <c r="A419" t="s">
        <v>229</v>
      </c>
      <c r="B419" t="s">
        <v>141</v>
      </c>
      <c r="C419" t="s">
        <v>230</v>
      </c>
      <c r="D419" s="47">
        <v>5600</v>
      </c>
      <c r="E419" s="2"/>
      <c r="F419" s="37">
        <f>H419/J419</f>
        <v>0</v>
      </c>
      <c r="G419" s="2"/>
      <c r="H419" s="12">
        <f t="shared" si="38"/>
        <v>0</v>
      </c>
      <c r="I419" s="2"/>
      <c r="J419" s="12">
        <v>5600</v>
      </c>
      <c r="K419" s="2"/>
    </row>
    <row r="420" spans="1:11" x14ac:dyDescent="0.25">
      <c r="A420" t="s">
        <v>229</v>
      </c>
      <c r="B420" t="s">
        <v>61</v>
      </c>
      <c r="C420" t="s">
        <v>62</v>
      </c>
      <c r="D420" s="47">
        <v>0</v>
      </c>
      <c r="E420" s="2"/>
      <c r="F420" s="37">
        <v>0</v>
      </c>
      <c r="G420" s="2"/>
      <c r="H420" s="12">
        <f t="shared" si="38"/>
        <v>0</v>
      </c>
      <c r="I420" s="2"/>
      <c r="J420" s="12">
        <v>0</v>
      </c>
      <c r="K420" s="2"/>
    </row>
    <row r="421" spans="1:11" x14ac:dyDescent="0.25">
      <c r="A421" t="s">
        <v>229</v>
      </c>
      <c r="B421" t="s">
        <v>34</v>
      </c>
      <c r="C421" t="s">
        <v>35</v>
      </c>
      <c r="D421" s="47">
        <f>ROUNDUP((411.6),0)</f>
        <v>412</v>
      </c>
      <c r="E421" s="2"/>
      <c r="F421" s="37">
        <f t="shared" ref="F421:F448" si="39">H421/J421</f>
        <v>-0.14166666666666666</v>
      </c>
      <c r="G421" s="2"/>
      <c r="H421" s="12">
        <f t="shared" si="38"/>
        <v>-68</v>
      </c>
      <c r="I421" s="2"/>
      <c r="J421" s="12">
        <v>480</v>
      </c>
      <c r="K421" s="2"/>
    </row>
    <row r="422" spans="1:11" x14ac:dyDescent="0.25">
      <c r="A422" t="s">
        <v>229</v>
      </c>
      <c r="B422" t="s">
        <v>9</v>
      </c>
      <c r="C422" t="s">
        <v>10</v>
      </c>
      <c r="D422" s="47">
        <f>ROUNDUP((12317.57),0)</f>
        <v>12318</v>
      </c>
      <c r="E422" s="2"/>
      <c r="F422" s="37">
        <f t="shared" si="39"/>
        <v>0.73346467773712354</v>
      </c>
      <c r="G422" s="2"/>
      <c r="H422" s="12">
        <f t="shared" si="38"/>
        <v>5212</v>
      </c>
      <c r="I422" s="2"/>
      <c r="J422" s="12">
        <v>7106</v>
      </c>
      <c r="K422" s="2"/>
    </row>
    <row r="423" spans="1:11" x14ac:dyDescent="0.25">
      <c r="A423" t="s">
        <v>229</v>
      </c>
      <c r="B423" t="s">
        <v>36</v>
      </c>
      <c r="C423" t="s">
        <v>37</v>
      </c>
      <c r="D423" s="47">
        <f>ROUNDUP((23051.79),0)</f>
        <v>23052</v>
      </c>
      <c r="E423" s="2"/>
      <c r="F423" s="37">
        <f t="shared" si="39"/>
        <v>6.0447143251449079E-2</v>
      </c>
      <c r="G423" s="2"/>
      <c r="H423" s="12">
        <f t="shared" si="38"/>
        <v>1314</v>
      </c>
      <c r="I423" s="2"/>
      <c r="J423" s="12">
        <v>21738</v>
      </c>
      <c r="K423" s="2"/>
    </row>
    <row r="424" spans="1:11" x14ac:dyDescent="0.25">
      <c r="A424" t="s">
        <v>229</v>
      </c>
      <c r="B424" t="s">
        <v>38</v>
      </c>
      <c r="C424" t="s">
        <v>39</v>
      </c>
      <c r="D424" s="47">
        <f>ROUNDUP((57032.15),0)</f>
        <v>57033</v>
      </c>
      <c r="E424" s="2"/>
      <c r="F424" s="37">
        <f t="shared" si="39"/>
        <v>0.12695621245652861</v>
      </c>
      <c r="G424" s="2"/>
      <c r="H424" s="12">
        <f t="shared" si="38"/>
        <v>6425</v>
      </c>
      <c r="I424" s="2"/>
      <c r="J424" s="12">
        <v>50608</v>
      </c>
      <c r="K424" s="2"/>
    </row>
    <row r="425" spans="1:11" x14ac:dyDescent="0.25">
      <c r="A425" t="s">
        <v>229</v>
      </c>
      <c r="B425" t="s">
        <v>11</v>
      </c>
      <c r="C425" t="s">
        <v>12</v>
      </c>
      <c r="D425" s="47">
        <f>ROUNDUP((17717.24),0)</f>
        <v>17718</v>
      </c>
      <c r="E425" s="2"/>
      <c r="F425" s="37">
        <f t="shared" si="39"/>
        <v>5.8928998326559887E-2</v>
      </c>
      <c r="G425" s="2"/>
      <c r="H425" s="12">
        <f t="shared" si="38"/>
        <v>986</v>
      </c>
      <c r="I425" s="2"/>
      <c r="J425" s="12">
        <v>16732</v>
      </c>
      <c r="K425" s="2"/>
    </row>
    <row r="426" spans="1:11" x14ac:dyDescent="0.25">
      <c r="A426" t="s">
        <v>229</v>
      </c>
      <c r="B426" t="s">
        <v>192</v>
      </c>
      <c r="C426" t="s">
        <v>193</v>
      </c>
      <c r="D426" s="47">
        <v>750</v>
      </c>
      <c r="E426" s="2"/>
      <c r="F426" s="37">
        <f t="shared" si="39"/>
        <v>0.5</v>
      </c>
      <c r="G426" s="2"/>
      <c r="H426" s="12">
        <f t="shared" si="38"/>
        <v>250</v>
      </c>
      <c r="I426" s="2"/>
      <c r="J426" s="12">
        <v>500</v>
      </c>
      <c r="K426" s="2"/>
    </row>
    <row r="427" spans="1:11" x14ac:dyDescent="0.25">
      <c r="A427" t="s">
        <v>229</v>
      </c>
      <c r="B427" t="s">
        <v>13</v>
      </c>
      <c r="C427" t="s">
        <v>14</v>
      </c>
      <c r="D427" s="47">
        <v>500</v>
      </c>
      <c r="E427" s="2"/>
      <c r="F427" s="37">
        <f t="shared" si="39"/>
        <v>0</v>
      </c>
      <c r="G427" s="2"/>
      <c r="H427" s="12">
        <f t="shared" si="38"/>
        <v>0</v>
      </c>
      <c r="I427" s="2"/>
      <c r="J427" s="12">
        <v>500</v>
      </c>
      <c r="K427" s="2"/>
    </row>
    <row r="428" spans="1:11" x14ac:dyDescent="0.25">
      <c r="A428" t="s">
        <v>229</v>
      </c>
      <c r="B428" t="s">
        <v>15</v>
      </c>
      <c r="C428" t="s">
        <v>16</v>
      </c>
      <c r="D428" s="47">
        <v>6000</v>
      </c>
      <c r="E428" s="2"/>
      <c r="F428" s="37">
        <f t="shared" si="39"/>
        <v>0</v>
      </c>
      <c r="G428" s="2"/>
      <c r="H428" s="12">
        <f t="shared" si="38"/>
        <v>0</v>
      </c>
      <c r="I428" s="2"/>
      <c r="J428" s="12">
        <v>6000</v>
      </c>
      <c r="K428" s="2"/>
    </row>
    <row r="429" spans="1:11" x14ac:dyDescent="0.25">
      <c r="A429" t="s">
        <v>229</v>
      </c>
      <c r="B429" t="s">
        <v>19</v>
      </c>
      <c r="C429" t="s">
        <v>20</v>
      </c>
      <c r="D429" s="47">
        <v>80</v>
      </c>
      <c r="E429" s="2"/>
      <c r="F429" s="37">
        <f t="shared" si="39"/>
        <v>0</v>
      </c>
      <c r="G429" s="2"/>
      <c r="H429" s="12">
        <f t="shared" si="38"/>
        <v>0</v>
      </c>
      <c r="I429" s="2"/>
      <c r="J429" s="12">
        <v>80</v>
      </c>
      <c r="K429" s="2"/>
    </row>
    <row r="430" spans="1:11" x14ac:dyDescent="0.25">
      <c r="A430" t="s">
        <v>229</v>
      </c>
      <c r="B430" t="s">
        <v>21</v>
      </c>
      <c r="C430" t="s">
        <v>22</v>
      </c>
      <c r="D430" s="47">
        <v>100</v>
      </c>
      <c r="E430" s="2"/>
      <c r="F430" s="37">
        <f t="shared" si="39"/>
        <v>0</v>
      </c>
      <c r="G430" s="2"/>
      <c r="H430" s="12">
        <f t="shared" si="38"/>
        <v>0</v>
      </c>
      <c r="I430" s="2"/>
      <c r="J430" s="12">
        <v>100</v>
      </c>
      <c r="K430" s="2"/>
    </row>
    <row r="431" spans="1:11" x14ac:dyDescent="0.25">
      <c r="A431" t="s">
        <v>229</v>
      </c>
      <c r="B431" t="s">
        <v>63</v>
      </c>
      <c r="C431" t="s">
        <v>64</v>
      </c>
      <c r="D431" s="47">
        <v>1500</v>
      </c>
      <c r="E431" s="2"/>
      <c r="F431" s="37">
        <f t="shared" si="39"/>
        <v>0</v>
      </c>
      <c r="G431" s="2"/>
      <c r="H431" s="12">
        <f t="shared" si="38"/>
        <v>0</v>
      </c>
      <c r="I431" s="2"/>
      <c r="J431" s="12">
        <v>1500</v>
      </c>
      <c r="K431" s="2"/>
    </row>
    <row r="432" spans="1:11" x14ac:dyDescent="0.25">
      <c r="A432" t="s">
        <v>229</v>
      </c>
      <c r="B432" t="s">
        <v>194</v>
      </c>
      <c r="C432" t="s">
        <v>195</v>
      </c>
      <c r="D432" s="47">
        <v>350</v>
      </c>
      <c r="E432" s="2"/>
      <c r="F432" s="37">
        <f t="shared" si="39"/>
        <v>0</v>
      </c>
      <c r="G432" s="2"/>
      <c r="H432" s="12">
        <f t="shared" si="38"/>
        <v>0</v>
      </c>
      <c r="I432" s="2"/>
      <c r="J432" s="12">
        <v>350</v>
      </c>
      <c r="K432" s="2"/>
    </row>
    <row r="433" spans="1:12" x14ac:dyDescent="0.25">
      <c r="A433" t="s">
        <v>229</v>
      </c>
      <c r="B433" t="s">
        <v>153</v>
      </c>
      <c r="C433" t="s">
        <v>154</v>
      </c>
      <c r="D433" s="47">
        <v>3500</v>
      </c>
      <c r="E433" s="2"/>
      <c r="F433" s="37">
        <f t="shared" si="39"/>
        <v>0</v>
      </c>
      <c r="G433" s="2"/>
      <c r="H433" s="12">
        <f t="shared" si="38"/>
        <v>0</v>
      </c>
      <c r="I433" s="2"/>
      <c r="J433" s="12">
        <v>3500</v>
      </c>
      <c r="K433" s="2"/>
    </row>
    <row r="434" spans="1:12" x14ac:dyDescent="0.25">
      <c r="A434" t="s">
        <v>229</v>
      </c>
      <c r="B434" t="s">
        <v>40</v>
      </c>
      <c r="C434" t="s">
        <v>137</v>
      </c>
      <c r="D434" s="47">
        <v>420</v>
      </c>
      <c r="E434" s="2"/>
      <c r="F434" s="37">
        <f t="shared" si="39"/>
        <v>0</v>
      </c>
      <c r="G434" s="2"/>
      <c r="H434" s="12">
        <f t="shared" si="38"/>
        <v>0</v>
      </c>
      <c r="I434" s="2"/>
      <c r="J434" s="12">
        <v>420</v>
      </c>
      <c r="K434" s="2"/>
    </row>
    <row r="435" spans="1:12" x14ac:dyDescent="0.25">
      <c r="A435" t="s">
        <v>229</v>
      </c>
      <c r="B435" t="s">
        <v>231</v>
      </c>
      <c r="C435" t="s">
        <v>232</v>
      </c>
      <c r="D435" s="47">
        <v>5000</v>
      </c>
      <c r="E435" s="2"/>
      <c r="F435" s="37">
        <f t="shared" si="39"/>
        <v>0</v>
      </c>
      <c r="G435" s="2"/>
      <c r="H435" s="12">
        <f t="shared" si="38"/>
        <v>0</v>
      </c>
      <c r="I435" s="2"/>
      <c r="J435" s="12">
        <v>5000</v>
      </c>
      <c r="K435" s="2"/>
    </row>
    <row r="436" spans="1:12" x14ac:dyDescent="0.25">
      <c r="A436" t="s">
        <v>229</v>
      </c>
      <c r="B436" t="s">
        <v>169</v>
      </c>
      <c r="C436" t="s">
        <v>170</v>
      </c>
      <c r="D436" s="47">
        <v>10000</v>
      </c>
      <c r="E436" s="2"/>
      <c r="F436" s="37">
        <f t="shared" si="39"/>
        <v>0</v>
      </c>
      <c r="G436" s="2"/>
      <c r="H436" s="12">
        <f t="shared" si="38"/>
        <v>0</v>
      </c>
      <c r="I436" s="2"/>
      <c r="J436" s="12">
        <v>10000</v>
      </c>
      <c r="K436" s="2"/>
    </row>
    <row r="437" spans="1:12" x14ac:dyDescent="0.25">
      <c r="A437" t="s">
        <v>229</v>
      </c>
      <c r="B437" t="s">
        <v>157</v>
      </c>
      <c r="C437" t="s">
        <v>158</v>
      </c>
      <c r="D437" s="47">
        <v>6180</v>
      </c>
      <c r="E437" s="2"/>
      <c r="F437" s="37">
        <f t="shared" si="39"/>
        <v>0</v>
      </c>
      <c r="G437" s="2"/>
      <c r="H437" s="12">
        <f t="shared" si="38"/>
        <v>0</v>
      </c>
      <c r="I437" s="2"/>
      <c r="J437" s="12">
        <v>6180</v>
      </c>
      <c r="K437" s="2"/>
    </row>
    <row r="438" spans="1:12" ht="105" x14ac:dyDescent="0.25">
      <c r="A438" s="1" t="s">
        <v>0</v>
      </c>
      <c r="B438" s="1" t="s">
        <v>1</v>
      </c>
      <c r="C438" s="1" t="s">
        <v>2</v>
      </c>
      <c r="D438" s="5" t="s">
        <v>337</v>
      </c>
      <c r="E438" s="1"/>
      <c r="F438" s="5" t="s">
        <v>409</v>
      </c>
      <c r="G438" s="1"/>
      <c r="H438" s="5" t="s">
        <v>410</v>
      </c>
      <c r="I438" s="1"/>
      <c r="J438" s="4" t="s">
        <v>335</v>
      </c>
      <c r="K438" s="1"/>
    </row>
    <row r="439" spans="1:12" x14ac:dyDescent="0.25">
      <c r="A439" t="s">
        <v>229</v>
      </c>
      <c r="B439" t="s">
        <v>159</v>
      </c>
      <c r="C439" t="s">
        <v>160</v>
      </c>
      <c r="D439" s="47">
        <v>5500</v>
      </c>
      <c r="E439" s="2"/>
      <c r="F439" s="37">
        <f t="shared" si="39"/>
        <v>0.22222222222222221</v>
      </c>
      <c r="G439" s="2"/>
      <c r="H439" s="12">
        <f t="shared" si="38"/>
        <v>1000</v>
      </c>
      <c r="I439" s="2"/>
      <c r="J439" s="12">
        <v>4500</v>
      </c>
      <c r="K439" s="2"/>
    </row>
    <row r="440" spans="1:12" x14ac:dyDescent="0.25">
      <c r="A440" t="s">
        <v>229</v>
      </c>
      <c r="B440" t="s">
        <v>23</v>
      </c>
      <c r="C440" t="s">
        <v>24</v>
      </c>
      <c r="D440" s="47">
        <v>250</v>
      </c>
      <c r="E440" s="2"/>
      <c r="F440" s="37">
        <f t="shared" si="39"/>
        <v>0</v>
      </c>
      <c r="G440" s="2"/>
      <c r="H440" s="12">
        <f t="shared" si="38"/>
        <v>0</v>
      </c>
      <c r="I440" s="2"/>
      <c r="J440" s="12">
        <v>250</v>
      </c>
      <c r="K440" s="2"/>
    </row>
    <row r="441" spans="1:12" x14ac:dyDescent="0.25">
      <c r="A441" t="s">
        <v>229</v>
      </c>
      <c r="B441" t="s">
        <v>44</v>
      </c>
      <c r="C441" t="s">
        <v>45</v>
      </c>
      <c r="D441" s="47">
        <v>250</v>
      </c>
      <c r="E441" s="2"/>
      <c r="F441" s="37">
        <f t="shared" si="39"/>
        <v>0</v>
      </c>
      <c r="G441" s="2"/>
      <c r="H441" s="12">
        <f t="shared" si="38"/>
        <v>0</v>
      </c>
      <c r="I441" s="2"/>
      <c r="J441" s="12">
        <v>250</v>
      </c>
      <c r="K441" s="2"/>
    </row>
    <row r="442" spans="1:12" x14ac:dyDescent="0.25">
      <c r="A442" t="s">
        <v>229</v>
      </c>
      <c r="B442" t="s">
        <v>206</v>
      </c>
      <c r="C442" t="s">
        <v>207</v>
      </c>
      <c r="D442" s="47">
        <v>1000</v>
      </c>
      <c r="E442" s="2"/>
      <c r="F442" s="37">
        <f t="shared" si="39"/>
        <v>0.42857142857142855</v>
      </c>
      <c r="G442" s="2"/>
      <c r="H442" s="12">
        <f t="shared" si="38"/>
        <v>300</v>
      </c>
      <c r="I442" s="2"/>
      <c r="J442" s="12">
        <v>700</v>
      </c>
      <c r="K442" s="2"/>
    </row>
    <row r="443" spans="1:12" x14ac:dyDescent="0.25">
      <c r="A443" t="s">
        <v>229</v>
      </c>
      <c r="B443" t="s">
        <v>121</v>
      </c>
      <c r="C443" t="s">
        <v>122</v>
      </c>
      <c r="D443" s="47">
        <f>2100*1.14</f>
        <v>2394</v>
      </c>
      <c r="E443" s="2"/>
      <c r="F443" s="37">
        <f t="shared" si="39"/>
        <v>0.14000000000000001</v>
      </c>
      <c r="G443" s="2"/>
      <c r="H443" s="12">
        <f t="shared" si="38"/>
        <v>294</v>
      </c>
      <c r="I443" s="2"/>
      <c r="J443" s="12">
        <v>2100</v>
      </c>
      <c r="K443" s="2"/>
    </row>
    <row r="444" spans="1:12" x14ac:dyDescent="0.25">
      <c r="A444" t="s">
        <v>229</v>
      </c>
      <c r="B444" t="s">
        <v>123</v>
      </c>
      <c r="C444" t="s">
        <v>124</v>
      </c>
      <c r="D444" s="47">
        <v>1512</v>
      </c>
      <c r="E444" s="2"/>
      <c r="F444" s="37">
        <f t="shared" si="39"/>
        <v>0</v>
      </c>
      <c r="G444" s="2"/>
      <c r="H444" s="12">
        <f t="shared" si="38"/>
        <v>0</v>
      </c>
      <c r="I444" s="2"/>
      <c r="J444" s="12">
        <v>1512</v>
      </c>
      <c r="K444" s="2"/>
    </row>
    <row r="445" spans="1:12" x14ac:dyDescent="0.25">
      <c r="A445" t="s">
        <v>229</v>
      </c>
      <c r="B445" t="s">
        <v>125</v>
      </c>
      <c r="C445" t="s">
        <v>126</v>
      </c>
      <c r="D445" s="47">
        <f>ROUNDUP((546*1.04),0)</f>
        <v>568</v>
      </c>
      <c r="E445" s="2"/>
      <c r="F445" s="37">
        <f t="shared" si="39"/>
        <v>4.0293040293040296E-2</v>
      </c>
      <c r="G445" s="2"/>
      <c r="H445" s="12">
        <f t="shared" si="38"/>
        <v>22</v>
      </c>
      <c r="I445" s="2"/>
      <c r="J445" s="12">
        <v>546</v>
      </c>
      <c r="K445" s="2"/>
    </row>
    <row r="446" spans="1:12" x14ac:dyDescent="0.25">
      <c r="A446" t="s">
        <v>229</v>
      </c>
      <c r="B446" t="s">
        <v>69</v>
      </c>
      <c r="C446" t="s">
        <v>70</v>
      </c>
      <c r="D446" s="47">
        <v>5000</v>
      </c>
      <c r="E446" s="2"/>
      <c r="F446" s="37">
        <f t="shared" si="39"/>
        <v>0</v>
      </c>
      <c r="G446" s="2"/>
      <c r="H446" s="12">
        <f t="shared" si="38"/>
        <v>0</v>
      </c>
      <c r="I446" s="2"/>
      <c r="J446" s="12">
        <v>5000</v>
      </c>
      <c r="K446" s="2"/>
    </row>
    <row r="447" spans="1:12" x14ac:dyDescent="0.25">
      <c r="A447" t="s">
        <v>229</v>
      </c>
      <c r="B447" t="s">
        <v>233</v>
      </c>
      <c r="C447" t="s">
        <v>234</v>
      </c>
      <c r="D447" s="47">
        <v>300000</v>
      </c>
      <c r="E447" s="2"/>
      <c r="F447" s="37">
        <f t="shared" si="39"/>
        <v>0</v>
      </c>
      <c r="G447" s="2"/>
      <c r="H447" s="12">
        <f t="shared" si="38"/>
        <v>0</v>
      </c>
      <c r="I447" s="2"/>
      <c r="J447" s="12">
        <v>300000</v>
      </c>
      <c r="K447" s="2"/>
    </row>
    <row r="448" spans="1:12" x14ac:dyDescent="0.25">
      <c r="A448" t="s">
        <v>229</v>
      </c>
      <c r="B448" t="s">
        <v>165</v>
      </c>
      <c r="C448" t="s">
        <v>166</v>
      </c>
      <c r="D448" s="47">
        <v>0</v>
      </c>
      <c r="E448" s="2"/>
      <c r="F448" s="37">
        <f t="shared" si="39"/>
        <v>-1</v>
      </c>
      <c r="G448" s="2"/>
      <c r="H448" s="12">
        <f t="shared" si="38"/>
        <v>-2500</v>
      </c>
      <c r="I448" s="2"/>
      <c r="J448" s="12">
        <v>2500</v>
      </c>
      <c r="K448" s="2"/>
      <c r="L448" t="s">
        <v>408</v>
      </c>
    </row>
    <row r="449" spans="1:12" x14ac:dyDescent="0.25">
      <c r="D449" s="2"/>
      <c r="E449" s="2"/>
      <c r="F449" s="2"/>
      <c r="G449" s="2"/>
      <c r="H449" s="2"/>
      <c r="I449" s="2"/>
      <c r="K449" s="2"/>
    </row>
    <row r="450" spans="1:12" x14ac:dyDescent="0.25">
      <c r="A450" t="s">
        <v>5</v>
      </c>
      <c r="B450" t="s">
        <v>5</v>
      </c>
      <c r="C450" s="1" t="s">
        <v>382</v>
      </c>
      <c r="D450" s="8">
        <f>SUM(D418:D448)</f>
        <v>692985</v>
      </c>
      <c r="E450" s="2"/>
      <c r="F450" s="15">
        <f>H450/J450</f>
        <v>3.9162114298310464E-2</v>
      </c>
      <c r="G450" s="2"/>
      <c r="H450" s="8">
        <f>SUM(H418:H448)</f>
        <v>26116</v>
      </c>
      <c r="I450" s="2"/>
      <c r="J450" s="8">
        <f>SUM(J418:J448)</f>
        <v>666869</v>
      </c>
      <c r="K450" s="2"/>
    </row>
    <row r="451" spans="1:12" x14ac:dyDescent="0.25">
      <c r="D451" s="2"/>
      <c r="E451" s="2"/>
      <c r="F451" s="2"/>
      <c r="G451" s="2"/>
      <c r="H451" s="2"/>
      <c r="I451" s="2"/>
      <c r="K451" s="2"/>
    </row>
    <row r="452" spans="1:12" x14ac:dyDescent="0.25">
      <c r="A452" t="s">
        <v>235</v>
      </c>
      <c r="B452" t="s">
        <v>119</v>
      </c>
      <c r="C452" t="s">
        <v>120</v>
      </c>
      <c r="D452" s="12">
        <v>78000</v>
      </c>
      <c r="E452" s="2"/>
      <c r="F452" s="37">
        <f>H452/J452</f>
        <v>0</v>
      </c>
      <c r="G452" s="2"/>
      <c r="H452" s="12">
        <f>D452-J452</f>
        <v>0</v>
      </c>
      <c r="I452" s="2"/>
      <c r="J452" s="12">
        <v>78000</v>
      </c>
      <c r="K452" s="2"/>
    </row>
    <row r="453" spans="1:12" x14ac:dyDescent="0.25">
      <c r="A453" t="s">
        <v>235</v>
      </c>
      <c r="B453" t="s">
        <v>236</v>
      </c>
      <c r="C453" t="s">
        <v>237</v>
      </c>
      <c r="D453" s="12">
        <v>549500</v>
      </c>
      <c r="E453" s="2"/>
      <c r="F453" s="37">
        <f>H453/J453</f>
        <v>0.14479166666666668</v>
      </c>
      <c r="G453" s="2"/>
      <c r="H453" s="12">
        <f>D453-J453</f>
        <v>69500</v>
      </c>
      <c r="I453" s="2"/>
      <c r="J453" s="12">
        <v>480000</v>
      </c>
      <c r="K453" s="2"/>
    </row>
    <row r="454" spans="1:12" x14ac:dyDescent="0.25">
      <c r="A454" t="s">
        <v>235</v>
      </c>
      <c r="B454" t="s">
        <v>69</v>
      </c>
      <c r="C454" t="s">
        <v>70</v>
      </c>
      <c r="D454" s="12">
        <v>17000</v>
      </c>
      <c r="E454" s="2"/>
      <c r="F454" s="37">
        <f>H454/J454</f>
        <v>0</v>
      </c>
      <c r="G454" s="2"/>
      <c r="H454" s="12">
        <f>D454-J454</f>
        <v>0</v>
      </c>
      <c r="I454" s="2"/>
      <c r="J454" s="12">
        <v>17000</v>
      </c>
      <c r="K454" s="2"/>
    </row>
    <row r="455" spans="1:12" x14ac:dyDescent="0.25">
      <c r="D455" s="2"/>
      <c r="E455" s="2"/>
      <c r="F455" s="2"/>
      <c r="G455" s="2"/>
      <c r="H455" s="2"/>
      <c r="I455" s="2"/>
      <c r="K455" s="2"/>
    </row>
    <row r="456" spans="1:12" x14ac:dyDescent="0.25">
      <c r="A456" t="s">
        <v>5</v>
      </c>
      <c r="B456" t="s">
        <v>5</v>
      </c>
      <c r="C456" s="1" t="s">
        <v>381</v>
      </c>
      <c r="D456" s="8">
        <f>SUM(D452:D454)</f>
        <v>644500</v>
      </c>
      <c r="E456" s="2"/>
      <c r="F456" s="15">
        <f>H456/J456</f>
        <v>0.1208695652173913</v>
      </c>
      <c r="G456" s="2"/>
      <c r="H456" s="8">
        <f>SUM(H452:H454)</f>
        <v>69500</v>
      </c>
      <c r="I456" s="2"/>
      <c r="J456" s="8">
        <f>SUM(J452:J454)</f>
        <v>575000</v>
      </c>
      <c r="K456" s="2"/>
    </row>
    <row r="457" spans="1:12" x14ac:dyDescent="0.25">
      <c r="D457" s="2"/>
      <c r="E457" s="2"/>
      <c r="F457" s="2"/>
      <c r="G457" s="2"/>
      <c r="H457" s="2"/>
      <c r="I457" s="2"/>
      <c r="K457" s="2"/>
    </row>
    <row r="458" spans="1:12" x14ac:dyDescent="0.25">
      <c r="A458" t="s">
        <v>238</v>
      </c>
      <c r="B458" t="s">
        <v>57</v>
      </c>
      <c r="C458" t="s">
        <v>58</v>
      </c>
      <c r="D458" s="12">
        <f>ROUNDUP((65852.8),0)</f>
        <v>65853</v>
      </c>
      <c r="E458" s="2"/>
      <c r="F458" s="37">
        <f t="shared" ref="F458:F477" si="40">H458/J458</f>
        <v>-0.15279814743342338</v>
      </c>
      <c r="G458" s="2"/>
      <c r="H458" s="12">
        <f t="shared" ref="H458:H477" si="41">D458-J458</f>
        <v>-11877</v>
      </c>
      <c r="I458" s="2"/>
      <c r="J458" s="12">
        <v>77730</v>
      </c>
      <c r="K458" s="2"/>
      <c r="L458" t="s">
        <v>355</v>
      </c>
    </row>
    <row r="459" spans="1:12" x14ac:dyDescent="0.25">
      <c r="A459" t="s">
        <v>238</v>
      </c>
      <c r="B459" t="s">
        <v>30</v>
      </c>
      <c r="C459" t="s">
        <v>31</v>
      </c>
      <c r="D459" s="12">
        <f>ROUNDUP((183461.04),0)</f>
        <v>183462</v>
      </c>
      <c r="E459" s="2"/>
      <c r="F459" s="37">
        <f t="shared" si="40"/>
        <v>8.6744304517290816E-2</v>
      </c>
      <c r="G459" s="2"/>
      <c r="H459" s="12">
        <f t="shared" si="41"/>
        <v>14644</v>
      </c>
      <c r="I459" s="2"/>
      <c r="J459" s="12">
        <v>168818</v>
      </c>
      <c r="K459" s="2"/>
      <c r="L459" t="s">
        <v>355</v>
      </c>
    </row>
    <row r="460" spans="1:12" x14ac:dyDescent="0.25">
      <c r="A460" t="s">
        <v>238</v>
      </c>
      <c r="B460" t="s">
        <v>34</v>
      </c>
      <c r="C460" t="s">
        <v>35</v>
      </c>
      <c r="D460" s="12">
        <f>ROUNDUP((314.34),0)</f>
        <v>315</v>
      </c>
      <c r="E460" s="2"/>
      <c r="F460" s="37">
        <f t="shared" si="40"/>
        <v>-0.15549597855227881</v>
      </c>
      <c r="G460" s="2"/>
      <c r="H460" s="12">
        <f t="shared" si="41"/>
        <v>-58</v>
      </c>
      <c r="I460" s="2"/>
      <c r="J460" s="12">
        <v>373</v>
      </c>
      <c r="K460" s="2"/>
    </row>
    <row r="461" spans="1:12" x14ac:dyDescent="0.25">
      <c r="A461" t="s">
        <v>238</v>
      </c>
      <c r="B461" t="s">
        <v>9</v>
      </c>
      <c r="C461" t="s">
        <v>10</v>
      </c>
      <c r="D461" s="12">
        <f>ROUNDUP((1338.36),0)</f>
        <v>1339</v>
      </c>
      <c r="E461" s="2"/>
      <c r="F461" s="37">
        <f t="shared" si="40"/>
        <v>1.0442748091603054</v>
      </c>
      <c r="G461" s="2"/>
      <c r="H461" s="12">
        <f t="shared" si="41"/>
        <v>684</v>
      </c>
      <c r="I461" s="2"/>
      <c r="J461" s="12">
        <v>655</v>
      </c>
      <c r="K461" s="2"/>
    </row>
    <row r="462" spans="1:12" x14ac:dyDescent="0.25">
      <c r="A462" t="s">
        <v>238</v>
      </c>
      <c r="B462" t="s">
        <v>36</v>
      </c>
      <c r="C462" t="s">
        <v>37</v>
      </c>
      <c r="D462" s="12">
        <f>ROUNDUP((25430.01),0)</f>
        <v>25431</v>
      </c>
      <c r="E462" s="2"/>
      <c r="F462" s="37">
        <f t="shared" si="40"/>
        <v>1.1253379990456497E-2</v>
      </c>
      <c r="G462" s="2"/>
      <c r="H462" s="12">
        <f t="shared" si="41"/>
        <v>283</v>
      </c>
      <c r="I462" s="2"/>
      <c r="J462" s="12">
        <v>25148</v>
      </c>
      <c r="K462" s="2"/>
    </row>
    <row r="463" spans="1:12" x14ac:dyDescent="0.25">
      <c r="A463" t="s">
        <v>238</v>
      </c>
      <c r="B463" t="s">
        <v>38</v>
      </c>
      <c r="C463" t="s">
        <v>39</v>
      </c>
      <c r="D463" s="12">
        <f>ROUNDUP((80778.15),0)</f>
        <v>80779</v>
      </c>
      <c r="E463" s="2"/>
      <c r="F463" s="37">
        <f t="shared" si="40"/>
        <v>-6.8958760747792808E-2</v>
      </c>
      <c r="G463" s="2"/>
      <c r="H463" s="12">
        <f t="shared" si="41"/>
        <v>-5983</v>
      </c>
      <c r="I463" s="2"/>
      <c r="J463" s="12">
        <v>86762</v>
      </c>
      <c r="K463" s="2"/>
    </row>
    <row r="464" spans="1:12" x14ac:dyDescent="0.25">
      <c r="A464" t="s">
        <v>238</v>
      </c>
      <c r="B464" t="s">
        <v>11</v>
      </c>
      <c r="C464" t="s">
        <v>12</v>
      </c>
      <c r="D464" s="12">
        <f>ROUNDUP((19072.51),0)</f>
        <v>19073</v>
      </c>
      <c r="E464" s="2"/>
      <c r="F464" s="37">
        <f t="shared" si="40"/>
        <v>1.1240125125921213E-2</v>
      </c>
      <c r="G464" s="2"/>
      <c r="H464" s="12">
        <f t="shared" si="41"/>
        <v>212</v>
      </c>
      <c r="I464" s="2"/>
      <c r="J464" s="12">
        <v>18861</v>
      </c>
      <c r="K464" s="2"/>
    </row>
    <row r="465" spans="1:11" x14ac:dyDescent="0.25">
      <c r="A465" t="s">
        <v>238</v>
      </c>
      <c r="B465" t="s">
        <v>13</v>
      </c>
      <c r="C465" t="s">
        <v>14</v>
      </c>
      <c r="D465" s="12">
        <f>3100-500</f>
        <v>2600</v>
      </c>
      <c r="E465" s="2"/>
      <c r="F465" s="37">
        <f t="shared" si="40"/>
        <v>-0.16129032258064516</v>
      </c>
      <c r="G465" s="2"/>
      <c r="H465" s="12">
        <f t="shared" si="41"/>
        <v>-500</v>
      </c>
      <c r="I465" s="2"/>
      <c r="J465" s="12">
        <v>3100</v>
      </c>
      <c r="K465" s="2"/>
    </row>
    <row r="466" spans="1:11" x14ac:dyDescent="0.25">
      <c r="A466" t="s">
        <v>238</v>
      </c>
      <c r="B466" t="s">
        <v>15</v>
      </c>
      <c r="C466" t="s">
        <v>16</v>
      </c>
      <c r="D466" s="12">
        <f>35000-1500</f>
        <v>33500</v>
      </c>
      <c r="E466" s="2"/>
      <c r="F466" s="37">
        <f t="shared" si="40"/>
        <v>6.3492063492063489E-2</v>
      </c>
      <c r="G466" s="2"/>
      <c r="H466" s="12">
        <f t="shared" si="41"/>
        <v>2000</v>
      </c>
      <c r="I466" s="2"/>
      <c r="J466" s="12">
        <v>31500</v>
      </c>
      <c r="K466" s="2"/>
    </row>
    <row r="467" spans="1:11" x14ac:dyDescent="0.25">
      <c r="A467" t="s">
        <v>238</v>
      </c>
      <c r="B467" t="s">
        <v>19</v>
      </c>
      <c r="C467" t="s">
        <v>20</v>
      </c>
      <c r="D467" s="12">
        <v>4420</v>
      </c>
      <c r="E467" s="2"/>
      <c r="F467" s="37">
        <f t="shared" si="40"/>
        <v>0.10087173100871731</v>
      </c>
      <c r="G467" s="2"/>
      <c r="H467" s="12">
        <f t="shared" si="41"/>
        <v>405</v>
      </c>
      <c r="I467" s="2"/>
      <c r="J467" s="12">
        <v>4015</v>
      </c>
      <c r="K467" s="2"/>
    </row>
    <row r="468" spans="1:11" x14ac:dyDescent="0.25">
      <c r="A468" t="s">
        <v>238</v>
      </c>
      <c r="B468" t="s">
        <v>63</v>
      </c>
      <c r="C468" t="s">
        <v>64</v>
      </c>
      <c r="D468" s="12">
        <v>250</v>
      </c>
      <c r="E468" s="2"/>
      <c r="F468" s="37">
        <f t="shared" si="40"/>
        <v>0</v>
      </c>
      <c r="G468" s="2"/>
      <c r="H468" s="12">
        <f t="shared" si="41"/>
        <v>0</v>
      </c>
      <c r="I468" s="2"/>
      <c r="J468" s="12">
        <v>250</v>
      </c>
      <c r="K468" s="2"/>
    </row>
    <row r="469" spans="1:11" x14ac:dyDescent="0.25">
      <c r="A469" t="s">
        <v>238</v>
      </c>
      <c r="B469" t="s">
        <v>40</v>
      </c>
      <c r="C469" t="s">
        <v>41</v>
      </c>
      <c r="D469" s="12">
        <v>420</v>
      </c>
      <c r="E469" s="2"/>
      <c r="F469" s="37">
        <f t="shared" si="40"/>
        <v>0</v>
      </c>
      <c r="G469" s="2"/>
      <c r="H469" s="12">
        <f t="shared" si="41"/>
        <v>0</v>
      </c>
      <c r="I469" s="2"/>
      <c r="J469" s="12">
        <v>420</v>
      </c>
      <c r="K469" s="2"/>
    </row>
    <row r="470" spans="1:11" x14ac:dyDescent="0.25">
      <c r="A470" t="s">
        <v>238</v>
      </c>
      <c r="B470" t="s">
        <v>23</v>
      </c>
      <c r="C470" t="s">
        <v>24</v>
      </c>
      <c r="D470" s="12">
        <v>400</v>
      </c>
      <c r="E470" s="2"/>
      <c r="F470" s="37">
        <f t="shared" si="40"/>
        <v>1.2857142857142858</v>
      </c>
      <c r="G470" s="2"/>
      <c r="H470" s="12">
        <f t="shared" si="41"/>
        <v>225</v>
      </c>
      <c r="I470" s="2"/>
      <c r="J470" s="12">
        <v>175</v>
      </c>
      <c r="K470" s="2"/>
    </row>
    <row r="471" spans="1:11" x14ac:dyDescent="0.25">
      <c r="A471" t="s">
        <v>238</v>
      </c>
      <c r="B471" t="s">
        <v>42</v>
      </c>
      <c r="C471" t="s">
        <v>43</v>
      </c>
      <c r="D471" s="12">
        <v>170</v>
      </c>
      <c r="E471" s="2"/>
      <c r="F471" s="37">
        <f t="shared" si="40"/>
        <v>0.7</v>
      </c>
      <c r="G471" s="2"/>
      <c r="H471" s="12">
        <f t="shared" si="41"/>
        <v>70</v>
      </c>
      <c r="I471" s="2"/>
      <c r="J471" s="12">
        <v>100</v>
      </c>
      <c r="K471" s="2"/>
    </row>
    <row r="472" spans="1:11" x14ac:dyDescent="0.25">
      <c r="A472" t="s">
        <v>238</v>
      </c>
      <c r="B472" t="s">
        <v>44</v>
      </c>
      <c r="C472" t="s">
        <v>45</v>
      </c>
      <c r="D472" s="12">
        <v>150</v>
      </c>
      <c r="E472" s="2"/>
      <c r="F472" s="37">
        <f t="shared" si="40"/>
        <v>1</v>
      </c>
      <c r="G472" s="2"/>
      <c r="H472" s="12">
        <f t="shared" si="41"/>
        <v>75</v>
      </c>
      <c r="I472" s="2"/>
      <c r="J472" s="12">
        <v>75</v>
      </c>
      <c r="K472" s="2"/>
    </row>
    <row r="473" spans="1:11" x14ac:dyDescent="0.25">
      <c r="A473" t="s">
        <v>238</v>
      </c>
      <c r="B473" t="s">
        <v>121</v>
      </c>
      <c r="C473" t="s">
        <v>122</v>
      </c>
      <c r="D473" s="12">
        <f>ROUNDUP((274*1.14),0)</f>
        <v>313</v>
      </c>
      <c r="E473" s="2"/>
      <c r="F473" s="37">
        <f t="shared" si="40"/>
        <v>0.30416666666666664</v>
      </c>
      <c r="G473" s="2"/>
      <c r="H473" s="12">
        <f t="shared" si="41"/>
        <v>73</v>
      </c>
      <c r="I473" s="2"/>
      <c r="J473" s="12">
        <v>240</v>
      </c>
      <c r="K473" s="2"/>
    </row>
    <row r="474" spans="1:11" x14ac:dyDescent="0.25">
      <c r="A474" t="s">
        <v>238</v>
      </c>
      <c r="B474" t="s">
        <v>123</v>
      </c>
      <c r="C474" t="s">
        <v>124</v>
      </c>
      <c r="D474" s="12">
        <v>2420</v>
      </c>
      <c r="E474" s="2"/>
      <c r="F474" s="37">
        <f t="shared" si="40"/>
        <v>4.1339396444811904E-4</v>
      </c>
      <c r="G474" s="2"/>
      <c r="H474" s="12">
        <f t="shared" si="41"/>
        <v>1</v>
      </c>
      <c r="I474" s="2"/>
      <c r="J474" s="12">
        <v>2419</v>
      </c>
      <c r="K474" s="2"/>
    </row>
    <row r="475" spans="1:11" ht="105" x14ac:dyDescent="0.25">
      <c r="A475" s="1" t="s">
        <v>0</v>
      </c>
      <c r="B475" s="1" t="s">
        <v>1</v>
      </c>
      <c r="C475" s="1" t="s">
        <v>2</v>
      </c>
      <c r="D475" s="5" t="s">
        <v>337</v>
      </c>
      <c r="E475" s="1"/>
      <c r="F475" s="5" t="s">
        <v>409</v>
      </c>
      <c r="G475" s="1"/>
      <c r="H475" s="5" t="s">
        <v>410</v>
      </c>
      <c r="I475" s="1"/>
      <c r="J475" s="4" t="s">
        <v>335</v>
      </c>
      <c r="K475" s="1"/>
    </row>
    <row r="476" spans="1:11" x14ac:dyDescent="0.25">
      <c r="A476" t="s">
        <v>238</v>
      </c>
      <c r="B476" t="s">
        <v>125</v>
      </c>
      <c r="C476" t="s">
        <v>126</v>
      </c>
      <c r="D476" s="12">
        <f>ROUNDUP((181*1.04),0)</f>
        <v>189</v>
      </c>
      <c r="E476" s="2"/>
      <c r="F476" s="37">
        <f t="shared" si="40"/>
        <v>4.4198895027624308E-2</v>
      </c>
      <c r="G476" s="2"/>
      <c r="H476" s="12">
        <f t="shared" si="41"/>
        <v>8</v>
      </c>
      <c r="I476" s="2"/>
      <c r="J476" s="12">
        <v>181</v>
      </c>
      <c r="K476" s="2"/>
    </row>
    <row r="477" spans="1:11" x14ac:dyDescent="0.25">
      <c r="A477" t="s">
        <v>238</v>
      </c>
      <c r="B477" t="s">
        <v>69</v>
      </c>
      <c r="C477" t="s">
        <v>70</v>
      </c>
      <c r="D477" s="12">
        <v>1500</v>
      </c>
      <c r="E477" s="2"/>
      <c r="F477" s="37">
        <f t="shared" si="40"/>
        <v>-0.86784140969162993</v>
      </c>
      <c r="G477" s="2"/>
      <c r="H477" s="12">
        <f t="shared" si="41"/>
        <v>-9850</v>
      </c>
      <c r="I477" s="2"/>
      <c r="J477" s="12">
        <v>11350</v>
      </c>
      <c r="K477" s="2"/>
    </row>
    <row r="478" spans="1:11" x14ac:dyDescent="0.25">
      <c r="D478" s="2"/>
      <c r="E478" s="2"/>
      <c r="F478" s="2"/>
      <c r="G478" s="2"/>
      <c r="H478" s="2"/>
      <c r="I478" s="2"/>
      <c r="K478" s="2"/>
    </row>
    <row r="479" spans="1:11" x14ac:dyDescent="0.25">
      <c r="A479" t="s">
        <v>5</v>
      </c>
      <c r="B479" t="s">
        <v>5</v>
      </c>
      <c r="C479" s="1" t="s">
        <v>380</v>
      </c>
      <c r="D479" s="8">
        <f>SUM(D458:D477)</f>
        <v>422584</v>
      </c>
      <c r="E479" s="2"/>
      <c r="F479" s="15">
        <f>H479/J479</f>
        <v>-2.2185611284396028E-2</v>
      </c>
      <c r="G479" s="2"/>
      <c r="H479" s="8">
        <f>SUM(H458:H477)</f>
        <v>-9588</v>
      </c>
      <c r="I479" s="2"/>
      <c r="J479" s="8">
        <f>SUM(J458:J477)</f>
        <v>432172</v>
      </c>
      <c r="K479" s="2"/>
    </row>
    <row r="480" spans="1:11" x14ac:dyDescent="0.25">
      <c r="D480" s="2"/>
      <c r="E480" s="2"/>
      <c r="F480" s="2"/>
      <c r="G480" s="2"/>
      <c r="H480" s="2"/>
      <c r="I480" s="2"/>
      <c r="K480" s="2"/>
    </row>
    <row r="481" spans="1:12" x14ac:dyDescent="0.25">
      <c r="A481" t="s">
        <v>239</v>
      </c>
      <c r="B481" t="s">
        <v>57</v>
      </c>
      <c r="C481" t="s">
        <v>58</v>
      </c>
      <c r="D481" s="12">
        <f>ROUNDUP((92017.12),0)</f>
        <v>92018</v>
      </c>
      <c r="E481" s="2"/>
      <c r="F481" s="37">
        <f t="shared" ref="F481:F519" si="42">H481/J481</f>
        <v>2.8398359354918024E-2</v>
      </c>
      <c r="G481" s="2"/>
      <c r="H481" s="12">
        <f t="shared" ref="H481:H520" si="43">D481-J481</f>
        <v>2541</v>
      </c>
      <c r="I481" s="2"/>
      <c r="J481" s="12">
        <v>89477</v>
      </c>
      <c r="K481" s="2"/>
      <c r="L481" t="s">
        <v>386</v>
      </c>
    </row>
    <row r="482" spans="1:12" x14ac:dyDescent="0.25">
      <c r="A482" t="s">
        <v>239</v>
      </c>
      <c r="B482" t="s">
        <v>30</v>
      </c>
      <c r="C482" t="s">
        <v>31</v>
      </c>
      <c r="D482" s="12">
        <f>ROUNDUP((288203.81),0)</f>
        <v>288204</v>
      </c>
      <c r="E482" s="2"/>
      <c r="F482" s="37">
        <f t="shared" si="42"/>
        <v>7.1394317450994241E-2</v>
      </c>
      <c r="G482" s="2"/>
      <c r="H482" s="12">
        <f t="shared" si="43"/>
        <v>19205</v>
      </c>
      <c r="I482" s="2"/>
      <c r="J482" s="12">
        <v>268999</v>
      </c>
      <c r="K482" s="2"/>
      <c r="L482" t="s">
        <v>416</v>
      </c>
    </row>
    <row r="483" spans="1:12" x14ac:dyDescent="0.25">
      <c r="A483" t="s">
        <v>239</v>
      </c>
      <c r="B483" t="s">
        <v>59</v>
      </c>
      <c r="C483" t="s">
        <v>60</v>
      </c>
      <c r="D483" s="12">
        <f>ROUNDUP((176737.52),0)</f>
        <v>176738</v>
      </c>
      <c r="E483" s="2"/>
      <c r="F483" s="37">
        <f t="shared" si="42"/>
        <v>6.7348688898819953E-2</v>
      </c>
      <c r="G483" s="2"/>
      <c r="H483" s="12">
        <f t="shared" si="43"/>
        <v>11152</v>
      </c>
      <c r="I483" s="2"/>
      <c r="J483" s="12">
        <v>165586</v>
      </c>
      <c r="K483" s="2"/>
      <c r="L483" t="s">
        <v>419</v>
      </c>
    </row>
    <row r="484" spans="1:12" x14ac:dyDescent="0.25">
      <c r="A484" t="s">
        <v>239</v>
      </c>
      <c r="B484" t="s">
        <v>61</v>
      </c>
      <c r="C484" t="s">
        <v>75</v>
      </c>
      <c r="D484" s="12">
        <v>5000</v>
      </c>
      <c r="E484" s="2"/>
      <c r="F484" s="37">
        <f t="shared" si="42"/>
        <v>0</v>
      </c>
      <c r="G484" s="2"/>
      <c r="H484" s="12">
        <f t="shared" si="43"/>
        <v>0</v>
      </c>
      <c r="I484" s="2"/>
      <c r="J484" s="12">
        <v>5000</v>
      </c>
      <c r="K484" s="2"/>
    </row>
    <row r="485" spans="1:12" x14ac:dyDescent="0.25">
      <c r="A485" t="s">
        <v>239</v>
      </c>
      <c r="B485" t="s">
        <v>34</v>
      </c>
      <c r="C485" t="s">
        <v>35</v>
      </c>
      <c r="D485" s="12">
        <f>ROUNDUP((1527.94),0)</f>
        <v>1528</v>
      </c>
      <c r="E485" s="2"/>
      <c r="F485" s="37">
        <f t="shared" si="42"/>
        <v>3.10752688172043</v>
      </c>
      <c r="G485" s="2"/>
      <c r="H485" s="12">
        <f t="shared" si="43"/>
        <v>1156</v>
      </c>
      <c r="I485" s="2"/>
      <c r="J485" s="12">
        <v>372</v>
      </c>
      <c r="K485" s="2"/>
    </row>
    <row r="486" spans="1:12" x14ac:dyDescent="0.25">
      <c r="A486" t="s">
        <v>239</v>
      </c>
      <c r="B486" t="s">
        <v>9</v>
      </c>
      <c r="C486" t="s">
        <v>10</v>
      </c>
      <c r="D486" s="12">
        <f>ROUNDUP((24967.42),0)</f>
        <v>24968</v>
      </c>
      <c r="E486" s="2"/>
      <c r="F486" s="37">
        <f t="shared" si="42"/>
        <v>0.51138014527845033</v>
      </c>
      <c r="G486" s="2"/>
      <c r="H486" s="12">
        <f t="shared" si="43"/>
        <v>8448</v>
      </c>
      <c r="I486" s="2"/>
      <c r="J486" s="12">
        <v>16520</v>
      </c>
      <c r="K486" s="2"/>
    </row>
    <row r="487" spans="1:12" x14ac:dyDescent="0.25">
      <c r="A487" t="s">
        <v>239</v>
      </c>
      <c r="B487" t="s">
        <v>36</v>
      </c>
      <c r="C487" t="s">
        <v>37</v>
      </c>
      <c r="D487" s="12">
        <f>ROUNDUP((30812.58),0)</f>
        <v>30813</v>
      </c>
      <c r="E487" s="2"/>
      <c r="F487" s="37">
        <f t="shared" si="42"/>
        <v>4.4614706580330205E-2</v>
      </c>
      <c r="G487" s="2"/>
      <c r="H487" s="12">
        <f t="shared" si="43"/>
        <v>1316</v>
      </c>
      <c r="I487" s="2"/>
      <c r="J487" s="12">
        <v>29497</v>
      </c>
      <c r="K487" s="2"/>
    </row>
    <row r="488" spans="1:12" x14ac:dyDescent="0.25">
      <c r="A488" t="s">
        <v>239</v>
      </c>
      <c r="B488" t="s">
        <v>38</v>
      </c>
      <c r="C488" t="s">
        <v>39</v>
      </c>
      <c r="D488" s="12">
        <f>ROUNDUP((42254.18),0)</f>
        <v>42255</v>
      </c>
      <c r="E488" s="2"/>
      <c r="F488" s="37">
        <f t="shared" si="42"/>
        <v>-0.58793700326685849</v>
      </c>
      <c r="G488" s="2"/>
      <c r="H488" s="12">
        <f t="shared" si="43"/>
        <v>-60290</v>
      </c>
      <c r="I488" s="2"/>
      <c r="J488" s="12">
        <v>102545</v>
      </c>
      <c r="K488" s="2"/>
    </row>
    <row r="489" spans="1:12" x14ac:dyDescent="0.25">
      <c r="A489" t="s">
        <v>239</v>
      </c>
      <c r="B489" t="s">
        <v>11</v>
      </c>
      <c r="C489" t="s">
        <v>12</v>
      </c>
      <c r="D489" s="12">
        <f>ROUNDUP((42989.82),0)</f>
        <v>42990</v>
      </c>
      <c r="E489" s="2"/>
      <c r="F489" s="37">
        <f t="shared" si="42"/>
        <v>6.2189607886739308E-2</v>
      </c>
      <c r="G489" s="2"/>
      <c r="H489" s="12">
        <f t="shared" si="43"/>
        <v>2517</v>
      </c>
      <c r="I489" s="2"/>
      <c r="J489" s="12">
        <v>40473</v>
      </c>
      <c r="K489" s="2"/>
    </row>
    <row r="490" spans="1:12" x14ac:dyDescent="0.25">
      <c r="A490" t="s">
        <v>239</v>
      </c>
      <c r="B490" t="s">
        <v>13</v>
      </c>
      <c r="C490" t="s">
        <v>14</v>
      </c>
      <c r="D490" s="12">
        <v>1800</v>
      </c>
      <c r="E490" s="2"/>
      <c r="F490" s="37">
        <f t="shared" si="42"/>
        <v>0.2</v>
      </c>
      <c r="G490" s="2"/>
      <c r="H490" s="12">
        <f t="shared" si="43"/>
        <v>300</v>
      </c>
      <c r="I490" s="2"/>
      <c r="J490" s="12">
        <v>1500</v>
      </c>
      <c r="K490" s="2"/>
    </row>
    <row r="491" spans="1:12" x14ac:dyDescent="0.25">
      <c r="A491" t="s">
        <v>239</v>
      </c>
      <c r="B491" t="s">
        <v>15</v>
      </c>
      <c r="C491" t="s">
        <v>16</v>
      </c>
      <c r="D491" s="12">
        <v>50000</v>
      </c>
      <c r="E491" s="2"/>
      <c r="F491" s="37">
        <f t="shared" si="42"/>
        <v>6.3829787234042548E-2</v>
      </c>
      <c r="G491" s="2"/>
      <c r="H491" s="12">
        <f t="shared" si="43"/>
        <v>3000</v>
      </c>
      <c r="I491" s="2"/>
      <c r="J491" s="12">
        <v>47000</v>
      </c>
      <c r="K491" s="2"/>
    </row>
    <row r="492" spans="1:12" x14ac:dyDescent="0.25">
      <c r="A492" t="s">
        <v>239</v>
      </c>
      <c r="B492" t="s">
        <v>19</v>
      </c>
      <c r="C492" t="s">
        <v>20</v>
      </c>
      <c r="D492" s="12">
        <v>200</v>
      </c>
      <c r="E492" s="2"/>
      <c r="F492" s="37">
        <f t="shared" si="42"/>
        <v>0</v>
      </c>
      <c r="G492" s="2"/>
      <c r="H492" s="12">
        <f t="shared" si="43"/>
        <v>0</v>
      </c>
      <c r="I492" s="2"/>
      <c r="J492" s="12">
        <v>200</v>
      </c>
      <c r="K492" s="2"/>
    </row>
    <row r="493" spans="1:12" x14ac:dyDescent="0.25">
      <c r="A493" t="s">
        <v>239</v>
      </c>
      <c r="B493" t="s">
        <v>21</v>
      </c>
      <c r="C493" t="s">
        <v>22</v>
      </c>
      <c r="D493" s="12">
        <v>1000</v>
      </c>
      <c r="E493" s="2"/>
      <c r="F493" s="37">
        <f t="shared" si="42"/>
        <v>0</v>
      </c>
      <c r="G493" s="2"/>
      <c r="H493" s="12">
        <f t="shared" si="43"/>
        <v>0</v>
      </c>
      <c r="I493" s="2"/>
      <c r="J493" s="12">
        <v>1000</v>
      </c>
      <c r="K493" s="2"/>
    </row>
    <row r="494" spans="1:12" x14ac:dyDescent="0.25">
      <c r="A494" t="s">
        <v>239</v>
      </c>
      <c r="B494" t="s">
        <v>153</v>
      </c>
      <c r="C494" t="s">
        <v>154</v>
      </c>
      <c r="D494" s="12">
        <v>1000</v>
      </c>
      <c r="E494" s="2"/>
      <c r="F494" s="37">
        <f t="shared" si="42"/>
        <v>0.25</v>
      </c>
      <c r="G494" s="2"/>
      <c r="H494" s="12">
        <f t="shared" si="43"/>
        <v>200</v>
      </c>
      <c r="I494" s="2"/>
      <c r="J494" s="12">
        <v>800</v>
      </c>
      <c r="K494" s="2"/>
    </row>
    <row r="495" spans="1:12" x14ac:dyDescent="0.25">
      <c r="A495" t="s">
        <v>239</v>
      </c>
      <c r="B495" t="s">
        <v>40</v>
      </c>
      <c r="C495" t="s">
        <v>41</v>
      </c>
      <c r="D495" s="12">
        <v>1250</v>
      </c>
      <c r="E495" s="2"/>
      <c r="F495" s="37">
        <f t="shared" si="42"/>
        <v>0.48809523809523808</v>
      </c>
      <c r="G495" s="2"/>
      <c r="H495" s="12">
        <f t="shared" si="43"/>
        <v>410</v>
      </c>
      <c r="I495" s="2"/>
      <c r="J495" s="12">
        <v>840</v>
      </c>
      <c r="K495" s="2"/>
    </row>
    <row r="496" spans="1:12" x14ac:dyDescent="0.25">
      <c r="A496" t="s">
        <v>239</v>
      </c>
      <c r="B496" t="s">
        <v>240</v>
      </c>
      <c r="C496" t="s">
        <v>241</v>
      </c>
      <c r="D496" s="12">
        <v>7500</v>
      </c>
      <c r="E496" s="2"/>
      <c r="F496" s="37">
        <f t="shared" si="42"/>
        <v>-4.4950974150006366E-2</v>
      </c>
      <c r="G496" s="2"/>
      <c r="H496" s="12">
        <f t="shared" si="43"/>
        <v>-353</v>
      </c>
      <c r="I496" s="2"/>
      <c r="J496" s="12">
        <v>7853</v>
      </c>
      <c r="K496" s="2"/>
    </row>
    <row r="497" spans="1:12" x14ac:dyDescent="0.25">
      <c r="A497" t="s">
        <v>239</v>
      </c>
      <c r="B497" t="s">
        <v>242</v>
      </c>
      <c r="C497" t="s">
        <v>243</v>
      </c>
      <c r="D497" s="12">
        <v>23000</v>
      </c>
      <c r="E497" s="2"/>
      <c r="F497" s="37">
        <f t="shared" si="42"/>
        <v>0.15</v>
      </c>
      <c r="G497" s="2"/>
      <c r="H497" s="12">
        <f t="shared" si="43"/>
        <v>3000</v>
      </c>
      <c r="I497" s="2"/>
      <c r="J497" s="12">
        <v>20000</v>
      </c>
      <c r="K497" s="2"/>
    </row>
    <row r="498" spans="1:12" x14ac:dyDescent="0.25">
      <c r="A498" t="s">
        <v>239</v>
      </c>
      <c r="B498" t="s">
        <v>244</v>
      </c>
      <c r="C498" t="s">
        <v>245</v>
      </c>
      <c r="D498" s="12">
        <v>3800</v>
      </c>
      <c r="E498" s="2"/>
      <c r="F498" s="37">
        <f t="shared" si="42"/>
        <v>0.26666666666666666</v>
      </c>
      <c r="G498" s="2"/>
      <c r="H498" s="12">
        <f t="shared" si="43"/>
        <v>800</v>
      </c>
      <c r="I498" s="2"/>
      <c r="J498" s="12">
        <v>3000</v>
      </c>
      <c r="K498" s="2"/>
    </row>
    <row r="499" spans="1:12" x14ac:dyDescent="0.25">
      <c r="A499" t="s">
        <v>239</v>
      </c>
      <c r="B499" t="s">
        <v>246</v>
      </c>
      <c r="C499" t="s">
        <v>247</v>
      </c>
      <c r="D499" s="12">
        <f>20000-12000</f>
        <v>8000</v>
      </c>
      <c r="E499" s="2"/>
      <c r="F499" s="37">
        <f t="shared" si="42"/>
        <v>0.58572844400396429</v>
      </c>
      <c r="G499" s="2"/>
      <c r="H499" s="12">
        <f t="shared" si="43"/>
        <v>2955</v>
      </c>
      <c r="I499" s="2"/>
      <c r="J499" s="12">
        <v>5045</v>
      </c>
      <c r="K499" s="2"/>
      <c r="L499" t="s">
        <v>418</v>
      </c>
    </row>
    <row r="500" spans="1:12" x14ac:dyDescent="0.25">
      <c r="A500" t="s">
        <v>239</v>
      </c>
      <c r="B500" t="s">
        <v>248</v>
      </c>
      <c r="C500" t="s">
        <v>249</v>
      </c>
      <c r="D500" s="12">
        <v>3800</v>
      </c>
      <c r="E500" s="2"/>
      <c r="F500" s="37">
        <f t="shared" si="42"/>
        <v>0</v>
      </c>
      <c r="G500" s="2"/>
      <c r="H500" s="12">
        <f t="shared" si="43"/>
        <v>0</v>
      </c>
      <c r="I500" s="2"/>
      <c r="J500" s="12">
        <v>3800</v>
      </c>
      <c r="K500" s="2"/>
    </row>
    <row r="501" spans="1:12" x14ac:dyDescent="0.25">
      <c r="A501" t="s">
        <v>239</v>
      </c>
      <c r="B501" t="s">
        <v>85</v>
      </c>
      <c r="C501" t="s">
        <v>86</v>
      </c>
      <c r="D501" s="12">
        <v>7600</v>
      </c>
      <c r="E501" s="2"/>
      <c r="F501" s="37">
        <f t="shared" si="42"/>
        <v>0</v>
      </c>
      <c r="G501" s="2"/>
      <c r="H501" s="12">
        <f t="shared" si="43"/>
        <v>0</v>
      </c>
      <c r="I501" s="2"/>
      <c r="J501" s="12">
        <v>7600</v>
      </c>
      <c r="K501" s="2"/>
    </row>
    <row r="502" spans="1:12" x14ac:dyDescent="0.25">
      <c r="A502" t="s">
        <v>239</v>
      </c>
      <c r="B502" t="s">
        <v>157</v>
      </c>
      <c r="C502" t="s">
        <v>158</v>
      </c>
      <c r="D502" s="12">
        <v>1800</v>
      </c>
      <c r="E502" s="2"/>
      <c r="F502" s="37">
        <f t="shared" si="42"/>
        <v>0</v>
      </c>
      <c r="G502" s="2"/>
      <c r="H502" s="12">
        <f t="shared" si="43"/>
        <v>0</v>
      </c>
      <c r="I502" s="2"/>
      <c r="J502" s="12">
        <v>1800</v>
      </c>
      <c r="K502" s="2"/>
    </row>
    <row r="503" spans="1:12" x14ac:dyDescent="0.25">
      <c r="A503" t="s">
        <v>239</v>
      </c>
      <c r="B503" t="s">
        <v>250</v>
      </c>
      <c r="C503" t="s">
        <v>251</v>
      </c>
      <c r="D503" s="12">
        <v>1000</v>
      </c>
      <c r="E503" s="2"/>
      <c r="F503" s="37">
        <f t="shared" si="42"/>
        <v>0</v>
      </c>
      <c r="G503" s="2"/>
      <c r="H503" s="12">
        <f t="shared" si="43"/>
        <v>0</v>
      </c>
      <c r="I503" s="2"/>
      <c r="J503" s="12">
        <v>1000</v>
      </c>
      <c r="K503" s="2"/>
    </row>
    <row r="504" spans="1:12" x14ac:dyDescent="0.25">
      <c r="A504" t="s">
        <v>239</v>
      </c>
      <c r="B504" t="s">
        <v>23</v>
      </c>
      <c r="C504" t="s">
        <v>24</v>
      </c>
      <c r="D504" s="12">
        <v>3000</v>
      </c>
      <c r="E504" s="2"/>
      <c r="F504" s="37">
        <f t="shared" si="42"/>
        <v>1</v>
      </c>
      <c r="G504" s="2"/>
      <c r="H504" s="12">
        <f t="shared" si="43"/>
        <v>1500</v>
      </c>
      <c r="I504" s="2"/>
      <c r="J504" s="12">
        <v>1500</v>
      </c>
      <c r="K504" s="2"/>
    </row>
    <row r="505" spans="1:12" x14ac:dyDescent="0.25">
      <c r="A505" t="s">
        <v>239</v>
      </c>
      <c r="B505" t="s">
        <v>387</v>
      </c>
      <c r="C505" t="s">
        <v>388</v>
      </c>
      <c r="D505" s="12">
        <v>16000</v>
      </c>
      <c r="E505" s="2"/>
      <c r="F505" s="37">
        <v>1</v>
      </c>
      <c r="G505" s="2"/>
      <c r="H505" s="12">
        <f t="shared" si="43"/>
        <v>16000</v>
      </c>
      <c r="I505" s="2"/>
      <c r="J505" s="12">
        <v>0</v>
      </c>
      <c r="K505" s="2"/>
      <c r="L505" t="s">
        <v>417</v>
      </c>
    </row>
    <row r="506" spans="1:12" x14ac:dyDescent="0.25">
      <c r="A506" t="s">
        <v>239</v>
      </c>
      <c r="B506" t="s">
        <v>252</v>
      </c>
      <c r="C506" t="s">
        <v>253</v>
      </c>
      <c r="D506" s="12">
        <v>7500</v>
      </c>
      <c r="E506" s="2"/>
      <c r="F506" s="37">
        <f t="shared" si="42"/>
        <v>7.1428571428571425E-2</v>
      </c>
      <c r="G506" s="2"/>
      <c r="H506" s="12">
        <f t="shared" si="43"/>
        <v>500</v>
      </c>
      <c r="I506" s="2"/>
      <c r="J506" s="12">
        <v>7000</v>
      </c>
      <c r="K506" s="2"/>
    </row>
    <row r="507" spans="1:12" x14ac:dyDescent="0.25">
      <c r="A507" t="s">
        <v>239</v>
      </c>
      <c r="B507" t="s">
        <v>87</v>
      </c>
      <c r="C507" t="s">
        <v>88</v>
      </c>
      <c r="D507" s="16">
        <v>3000</v>
      </c>
      <c r="E507" s="2"/>
      <c r="F507" s="37">
        <f t="shared" si="42"/>
        <v>0</v>
      </c>
      <c r="G507" s="2"/>
      <c r="H507" s="12">
        <f t="shared" si="43"/>
        <v>0</v>
      </c>
      <c r="I507" s="2"/>
      <c r="J507" s="12">
        <v>3000</v>
      </c>
      <c r="K507" s="2"/>
    </row>
    <row r="508" spans="1:12" x14ac:dyDescent="0.25">
      <c r="A508" t="s">
        <v>239</v>
      </c>
      <c r="B508" t="s">
        <v>119</v>
      </c>
      <c r="C508" t="s">
        <v>120</v>
      </c>
      <c r="D508" s="16">
        <v>3000</v>
      </c>
      <c r="E508" s="2"/>
      <c r="F508" s="37">
        <f t="shared" si="42"/>
        <v>9</v>
      </c>
      <c r="G508" s="2"/>
      <c r="H508" s="12">
        <f t="shared" si="43"/>
        <v>2700</v>
      </c>
      <c r="I508" s="2"/>
      <c r="J508" s="12">
        <v>300</v>
      </c>
      <c r="K508" s="2"/>
      <c r="L508" t="s">
        <v>415</v>
      </c>
    </row>
    <row r="509" spans="1:12" x14ac:dyDescent="0.25">
      <c r="A509" t="s">
        <v>239</v>
      </c>
      <c r="B509" t="s">
        <v>121</v>
      </c>
      <c r="C509" t="s">
        <v>173</v>
      </c>
      <c r="D509" s="16">
        <f>ROUNDUP((4500*1.14),0)</f>
        <v>5130</v>
      </c>
      <c r="E509" s="2"/>
      <c r="F509" s="37">
        <f t="shared" si="42"/>
        <v>0.14000000000000001</v>
      </c>
      <c r="G509" s="2"/>
      <c r="H509" s="12">
        <f t="shared" si="43"/>
        <v>630</v>
      </c>
      <c r="I509" s="2"/>
      <c r="J509" s="12">
        <v>4500</v>
      </c>
      <c r="K509" s="2"/>
    </row>
    <row r="510" spans="1:12" x14ac:dyDescent="0.25">
      <c r="A510" t="s">
        <v>239</v>
      </c>
      <c r="B510" t="s">
        <v>123</v>
      </c>
      <c r="C510" t="s">
        <v>124</v>
      </c>
      <c r="D510" s="16">
        <v>3800</v>
      </c>
      <c r="E510" s="2"/>
      <c r="F510" s="37">
        <f t="shared" si="42"/>
        <v>-7.3145245559038665E-3</v>
      </c>
      <c r="G510" s="2"/>
      <c r="H510" s="12">
        <f t="shared" si="43"/>
        <v>-28</v>
      </c>
      <c r="I510" s="2"/>
      <c r="J510" s="12">
        <v>3828</v>
      </c>
      <c r="K510" s="2"/>
    </row>
    <row r="511" spans="1:12" x14ac:dyDescent="0.25">
      <c r="A511" t="s">
        <v>239</v>
      </c>
      <c r="B511" t="s">
        <v>125</v>
      </c>
      <c r="C511" t="s">
        <v>126</v>
      </c>
      <c r="D511" s="16">
        <v>1000</v>
      </c>
      <c r="E511" s="2"/>
      <c r="F511" s="37">
        <f t="shared" si="42"/>
        <v>0.29366106080206988</v>
      </c>
      <c r="G511" s="2"/>
      <c r="H511" s="12">
        <f t="shared" si="43"/>
        <v>227</v>
      </c>
      <c r="I511" s="2"/>
      <c r="J511" s="12">
        <v>773</v>
      </c>
      <c r="K511" s="2"/>
    </row>
    <row r="512" spans="1:12" ht="105" x14ac:dyDescent="0.25">
      <c r="A512" s="1" t="s">
        <v>0</v>
      </c>
      <c r="B512" s="1" t="s">
        <v>1</v>
      </c>
      <c r="C512" s="1" t="s">
        <v>2</v>
      </c>
      <c r="D512" s="5" t="s">
        <v>337</v>
      </c>
      <c r="E512" s="1"/>
      <c r="F512" s="5" t="s">
        <v>409</v>
      </c>
      <c r="G512" s="1"/>
      <c r="H512" s="5" t="s">
        <v>410</v>
      </c>
      <c r="I512" s="1"/>
      <c r="J512" s="4" t="s">
        <v>335</v>
      </c>
      <c r="K512" s="1"/>
    </row>
    <row r="513" spans="1:12" x14ac:dyDescent="0.25">
      <c r="A513" t="s">
        <v>239</v>
      </c>
      <c r="B513" t="s">
        <v>254</v>
      </c>
      <c r="C513" t="s">
        <v>255</v>
      </c>
      <c r="D513" s="16">
        <v>2200</v>
      </c>
      <c r="E513" s="2"/>
      <c r="F513" s="37">
        <f t="shared" si="42"/>
        <v>0</v>
      </c>
      <c r="G513" s="2"/>
      <c r="H513" s="12">
        <f t="shared" si="43"/>
        <v>0</v>
      </c>
      <c r="I513" s="2"/>
      <c r="J513" s="12">
        <v>2200</v>
      </c>
      <c r="K513" s="2"/>
    </row>
    <row r="514" spans="1:12" x14ac:dyDescent="0.25">
      <c r="A514" t="s">
        <v>239</v>
      </c>
      <c r="B514" t="s">
        <v>69</v>
      </c>
      <c r="C514" t="s">
        <v>70</v>
      </c>
      <c r="D514" s="16">
        <v>23000</v>
      </c>
      <c r="E514" s="2"/>
      <c r="F514" s="37">
        <f t="shared" si="42"/>
        <v>3.6</v>
      </c>
      <c r="G514" s="2"/>
      <c r="H514" s="12">
        <f t="shared" si="43"/>
        <v>18000</v>
      </c>
      <c r="I514" s="2"/>
      <c r="J514" s="12">
        <v>5000</v>
      </c>
      <c r="K514" s="2"/>
      <c r="L514" t="s">
        <v>413</v>
      </c>
    </row>
    <row r="515" spans="1:12" x14ac:dyDescent="0.25">
      <c r="A515" t="s">
        <v>239</v>
      </c>
      <c r="B515" t="s">
        <v>216</v>
      </c>
      <c r="C515" t="s">
        <v>256</v>
      </c>
      <c r="D515" s="16">
        <v>9200</v>
      </c>
      <c r="E515" s="2"/>
      <c r="F515" s="37">
        <f t="shared" si="42"/>
        <v>0</v>
      </c>
      <c r="G515" s="2"/>
      <c r="H515" s="12">
        <f t="shared" si="43"/>
        <v>0</v>
      </c>
      <c r="I515" s="2"/>
      <c r="J515" s="12">
        <v>9200</v>
      </c>
      <c r="K515" s="2"/>
    </row>
    <row r="516" spans="1:12" x14ac:dyDescent="0.25">
      <c r="A516" t="s">
        <v>239</v>
      </c>
      <c r="B516" t="s">
        <v>257</v>
      </c>
      <c r="C516" t="s">
        <v>258</v>
      </c>
      <c r="D516" s="16">
        <v>5000</v>
      </c>
      <c r="E516" s="2"/>
      <c r="F516" s="37">
        <f t="shared" si="42"/>
        <v>0</v>
      </c>
      <c r="G516" s="2"/>
      <c r="H516" s="12">
        <f t="shared" si="43"/>
        <v>0</v>
      </c>
      <c r="I516" s="2"/>
      <c r="J516" s="12">
        <v>5000</v>
      </c>
      <c r="K516" s="2"/>
    </row>
    <row r="517" spans="1:12" x14ac:dyDescent="0.25">
      <c r="A517" t="s">
        <v>239</v>
      </c>
      <c r="B517" t="s">
        <v>259</v>
      </c>
      <c r="C517" t="s">
        <v>260</v>
      </c>
      <c r="D517" s="16">
        <v>4800</v>
      </c>
      <c r="E517" s="2"/>
      <c r="F517" s="37">
        <f t="shared" si="42"/>
        <v>2.3454157782515993E-2</v>
      </c>
      <c r="G517" s="2"/>
      <c r="H517" s="12">
        <f t="shared" si="43"/>
        <v>110</v>
      </c>
      <c r="I517" s="2"/>
      <c r="J517" s="12">
        <v>4690</v>
      </c>
      <c r="K517" s="2"/>
    </row>
    <row r="518" spans="1:12" x14ac:dyDescent="0.25">
      <c r="A518" t="s">
        <v>239</v>
      </c>
      <c r="B518" t="s">
        <v>233</v>
      </c>
      <c r="C518" t="s">
        <v>234</v>
      </c>
      <c r="D518" s="16">
        <v>1200</v>
      </c>
      <c r="E518" s="2"/>
      <c r="F518" s="37">
        <f t="shared" si="42"/>
        <v>4.3478260869565216E-2</v>
      </c>
      <c r="G518" s="2"/>
      <c r="H518" s="12">
        <f t="shared" si="43"/>
        <v>50</v>
      </c>
      <c r="I518" s="2"/>
      <c r="J518" s="12">
        <v>1150</v>
      </c>
      <c r="K518" s="2"/>
    </row>
    <row r="519" spans="1:12" ht="30" x14ac:dyDescent="0.25">
      <c r="A519" t="s">
        <v>239</v>
      </c>
      <c r="B519" t="s">
        <v>71</v>
      </c>
      <c r="C519" t="s">
        <v>72</v>
      </c>
      <c r="D519" s="16">
        <f>12000+8000</f>
        <v>20000</v>
      </c>
      <c r="E519" s="2"/>
      <c r="F519" s="37">
        <f t="shared" si="42"/>
        <v>0.72413793103448276</v>
      </c>
      <c r="G519" s="2"/>
      <c r="H519" s="12">
        <f t="shared" si="43"/>
        <v>8400</v>
      </c>
      <c r="I519" s="2"/>
      <c r="J519" s="12">
        <v>11600</v>
      </c>
      <c r="K519" s="2"/>
      <c r="L519" s="21" t="s">
        <v>389</v>
      </c>
    </row>
    <row r="520" spans="1:12" x14ac:dyDescent="0.25">
      <c r="A520" s="20" t="s">
        <v>239</v>
      </c>
      <c r="B520" t="s">
        <v>387</v>
      </c>
      <c r="C520" t="s">
        <v>420</v>
      </c>
      <c r="D520" s="16">
        <v>2500</v>
      </c>
      <c r="E520" s="2"/>
      <c r="F520" s="37">
        <v>1</v>
      </c>
      <c r="G520" s="2"/>
      <c r="H520" s="12">
        <f t="shared" si="43"/>
        <v>2500</v>
      </c>
      <c r="I520" s="2"/>
      <c r="J520" s="12">
        <v>0</v>
      </c>
      <c r="K520" s="2"/>
      <c r="L520" s="21"/>
    </row>
    <row r="521" spans="1:12" x14ac:dyDescent="0.25">
      <c r="D521" s="10"/>
      <c r="E521" s="2"/>
      <c r="F521" s="10"/>
      <c r="G521" s="2"/>
      <c r="H521" s="10"/>
      <c r="I521" s="2"/>
      <c r="J521" s="11"/>
      <c r="K521" s="2"/>
    </row>
    <row r="522" spans="1:12" x14ac:dyDescent="0.25">
      <c r="A522" t="s">
        <v>5</v>
      </c>
      <c r="B522" t="s">
        <v>5</v>
      </c>
      <c r="C522" s="1" t="s">
        <v>379</v>
      </c>
      <c r="D522" s="8">
        <f>SUM(D481:D520)</f>
        <v>926594</v>
      </c>
      <c r="E522" s="2"/>
      <c r="F522" s="15">
        <f>H522/J522</f>
        <v>5.336907490268835E-2</v>
      </c>
      <c r="G522" s="2"/>
      <c r="H522" s="8">
        <f>SUM(H481:H520)</f>
        <v>46946</v>
      </c>
      <c r="I522" s="2"/>
      <c r="J522" s="8">
        <f>SUM(J481:J520)</f>
        <v>879648</v>
      </c>
      <c r="K522" s="2"/>
    </row>
    <row r="523" spans="1:12" x14ac:dyDescent="0.25">
      <c r="D523" s="2"/>
      <c r="E523" s="2"/>
      <c r="F523" s="2"/>
      <c r="G523" s="2"/>
      <c r="H523" s="2"/>
      <c r="I523" s="2"/>
      <c r="K523" s="2"/>
    </row>
    <row r="524" spans="1:12" x14ac:dyDescent="0.25">
      <c r="A524" t="s">
        <v>261</v>
      </c>
      <c r="B524" t="s">
        <v>262</v>
      </c>
      <c r="C524" t="s">
        <v>263</v>
      </c>
      <c r="D524" s="16">
        <v>50000</v>
      </c>
      <c r="E524" s="2"/>
      <c r="F524" s="37">
        <f>H524/J524</f>
        <v>0.1111111111111111</v>
      </c>
      <c r="G524" s="2"/>
      <c r="H524" s="12">
        <f t="shared" ref="H524:H529" si="44">D524-J524</f>
        <v>5000</v>
      </c>
      <c r="I524" s="2"/>
      <c r="J524" s="12">
        <v>45000</v>
      </c>
      <c r="K524" s="2"/>
    </row>
    <row r="525" spans="1:12" x14ac:dyDescent="0.25">
      <c r="A525" t="s">
        <v>261</v>
      </c>
      <c r="B525" t="s">
        <v>264</v>
      </c>
      <c r="C525" t="s">
        <v>265</v>
      </c>
      <c r="D525" s="16">
        <v>2000</v>
      </c>
      <c r="E525" s="2"/>
      <c r="F525" s="37">
        <f>H525/J525</f>
        <v>0</v>
      </c>
      <c r="G525" s="2"/>
      <c r="H525" s="12">
        <f t="shared" si="44"/>
        <v>0</v>
      </c>
      <c r="I525" s="2"/>
      <c r="J525" s="12">
        <v>2000</v>
      </c>
      <c r="K525" s="2"/>
    </row>
    <row r="526" spans="1:12" x14ac:dyDescent="0.25">
      <c r="A526" t="s">
        <v>261</v>
      </c>
      <c r="B526" t="s">
        <v>266</v>
      </c>
      <c r="C526" t="s">
        <v>267</v>
      </c>
      <c r="D526" s="16">
        <v>1000</v>
      </c>
      <c r="E526" s="2"/>
      <c r="F526" s="37">
        <f>H526/J526</f>
        <v>0</v>
      </c>
      <c r="G526" s="2"/>
      <c r="H526" s="12">
        <f t="shared" si="44"/>
        <v>0</v>
      </c>
      <c r="I526" s="2"/>
      <c r="J526" s="12">
        <v>1000</v>
      </c>
      <c r="K526" s="2"/>
    </row>
    <row r="527" spans="1:12" x14ac:dyDescent="0.25">
      <c r="A527" t="s">
        <v>261</v>
      </c>
      <c r="B527" t="s">
        <v>268</v>
      </c>
      <c r="C527" t="s">
        <v>269</v>
      </c>
      <c r="D527" s="16">
        <v>2800</v>
      </c>
      <c r="E527" s="2"/>
      <c r="F527" s="37">
        <f>H527/J527</f>
        <v>0</v>
      </c>
      <c r="G527" s="2"/>
      <c r="H527" s="12">
        <f t="shared" si="44"/>
        <v>0</v>
      </c>
      <c r="I527" s="2"/>
      <c r="J527" s="12">
        <v>2800</v>
      </c>
      <c r="K527" s="2"/>
    </row>
    <row r="528" spans="1:12" x14ac:dyDescent="0.25">
      <c r="A528" t="s">
        <v>261</v>
      </c>
      <c r="B528" t="s">
        <v>270</v>
      </c>
      <c r="C528" t="s">
        <v>271</v>
      </c>
      <c r="D528" s="16">
        <v>8879</v>
      </c>
      <c r="E528" s="2"/>
      <c r="F528" s="37">
        <f>H528/J528</f>
        <v>2.2101991481524117E-2</v>
      </c>
      <c r="G528" s="2"/>
      <c r="H528" s="12">
        <f t="shared" si="44"/>
        <v>192</v>
      </c>
      <c r="I528" s="2"/>
      <c r="J528" s="12">
        <v>8687</v>
      </c>
      <c r="K528" s="2"/>
    </row>
    <row r="529" spans="1:12" x14ac:dyDescent="0.25">
      <c r="A529" t="s">
        <v>261</v>
      </c>
      <c r="B529" t="s">
        <v>390</v>
      </c>
      <c r="C529" t="s">
        <v>391</v>
      </c>
      <c r="D529" s="16">
        <v>500</v>
      </c>
      <c r="E529" s="2"/>
      <c r="F529" s="37">
        <v>1</v>
      </c>
      <c r="G529" s="2"/>
      <c r="H529" s="12">
        <f t="shared" si="44"/>
        <v>500</v>
      </c>
      <c r="I529" s="2"/>
      <c r="J529" s="12">
        <v>0</v>
      </c>
      <c r="K529" s="2"/>
    </row>
    <row r="530" spans="1:12" x14ac:dyDescent="0.25">
      <c r="D530" s="2"/>
      <c r="E530" s="2"/>
      <c r="F530" s="2"/>
      <c r="G530" s="2"/>
      <c r="H530" s="2"/>
      <c r="I530" s="2"/>
      <c r="K530" s="2"/>
    </row>
    <row r="531" spans="1:12" x14ac:dyDescent="0.25">
      <c r="A531" t="s">
        <v>5</v>
      </c>
      <c r="B531" t="s">
        <v>5</v>
      </c>
      <c r="C531" s="1" t="s">
        <v>378</v>
      </c>
      <c r="D531" s="8">
        <f>SUM(D524:D529)</f>
        <v>65179</v>
      </c>
      <c r="E531" s="2"/>
      <c r="F531" s="15">
        <f>H531/J531</f>
        <v>9.5684771462672513E-2</v>
      </c>
      <c r="G531" s="2"/>
      <c r="H531" s="8">
        <f>SUM(H524:H529)</f>
        <v>5692</v>
      </c>
      <c r="I531" s="2"/>
      <c r="J531" s="8">
        <f>SUM(J524:J529)</f>
        <v>59487</v>
      </c>
      <c r="K531" s="2"/>
    </row>
    <row r="532" spans="1:12" x14ac:dyDescent="0.25">
      <c r="D532" s="2"/>
      <c r="E532" s="2"/>
      <c r="F532" s="2"/>
      <c r="G532" s="2"/>
      <c r="H532" s="2"/>
      <c r="I532" s="2"/>
      <c r="K532" s="2"/>
    </row>
    <row r="533" spans="1:12" x14ac:dyDescent="0.25">
      <c r="A533" t="s">
        <v>272</v>
      </c>
      <c r="B533" t="s">
        <v>57</v>
      </c>
      <c r="C533" t="s">
        <v>58</v>
      </c>
      <c r="D533" s="16">
        <f>ROUNDUP((76783.62),0)</f>
        <v>76784</v>
      </c>
      <c r="E533" s="2"/>
      <c r="F533" s="37">
        <f t="shared" ref="F533:F547" si="45">H533/J533</f>
        <v>2.9883577445141907E-2</v>
      </c>
      <c r="G533" s="2"/>
      <c r="H533" s="12">
        <f t="shared" ref="H533:H547" si="46">D533-J533</f>
        <v>2228</v>
      </c>
      <c r="I533" s="2"/>
      <c r="J533" s="9">
        <v>74556</v>
      </c>
      <c r="K533" s="2"/>
      <c r="L533" t="s">
        <v>355</v>
      </c>
    </row>
    <row r="534" spans="1:12" x14ac:dyDescent="0.25">
      <c r="A534" t="s">
        <v>272</v>
      </c>
      <c r="B534" t="s">
        <v>34</v>
      </c>
      <c r="C534" t="s">
        <v>35</v>
      </c>
      <c r="D534" s="16">
        <f>ROUNDUP((58.8),0)</f>
        <v>59</v>
      </c>
      <c r="E534" s="2"/>
      <c r="F534" s="37">
        <f t="shared" si="45"/>
        <v>-0.21333333333333335</v>
      </c>
      <c r="G534" s="2"/>
      <c r="H534" s="12">
        <f t="shared" si="46"/>
        <v>-16</v>
      </c>
      <c r="I534" s="2"/>
      <c r="J534" s="9">
        <v>75</v>
      </c>
      <c r="K534" s="2"/>
    </row>
    <row r="535" spans="1:12" x14ac:dyDescent="0.25">
      <c r="A535" t="s">
        <v>272</v>
      </c>
      <c r="B535" t="s">
        <v>9</v>
      </c>
      <c r="C535" t="s">
        <v>10</v>
      </c>
      <c r="D535" s="16">
        <f>ROUNDUP((359.22),0)</f>
        <v>360</v>
      </c>
      <c r="E535" s="2"/>
      <c r="F535" s="37">
        <f t="shared" si="45"/>
        <v>0.68224299065420557</v>
      </c>
      <c r="G535" s="2"/>
      <c r="H535" s="12">
        <f t="shared" si="46"/>
        <v>146</v>
      </c>
      <c r="I535" s="2"/>
      <c r="J535" s="9">
        <v>214</v>
      </c>
      <c r="K535" s="2"/>
    </row>
    <row r="536" spans="1:12" x14ac:dyDescent="0.25">
      <c r="A536" t="s">
        <v>272</v>
      </c>
      <c r="B536" t="s">
        <v>36</v>
      </c>
      <c r="C536" t="s">
        <v>37</v>
      </c>
      <c r="D536" s="16">
        <f>ROUNDUP((7831.93),0)</f>
        <v>7832</v>
      </c>
      <c r="E536" s="2"/>
      <c r="F536" s="37">
        <f t="shared" si="45"/>
        <v>2.9848783694937542E-2</v>
      </c>
      <c r="G536" s="2"/>
      <c r="H536" s="12">
        <f t="shared" si="46"/>
        <v>227</v>
      </c>
      <c r="I536" s="2"/>
      <c r="J536" s="9">
        <v>7605</v>
      </c>
      <c r="K536" s="2"/>
    </row>
    <row r="537" spans="1:12" x14ac:dyDescent="0.25">
      <c r="A537" t="s">
        <v>272</v>
      </c>
      <c r="B537" t="s">
        <v>38</v>
      </c>
      <c r="C537" t="s">
        <v>39</v>
      </c>
      <c r="D537" s="16">
        <f>ROUNDUP((3230.47),0)</f>
        <v>3231</v>
      </c>
      <c r="E537" s="2"/>
      <c r="F537" s="37">
        <f t="shared" si="45"/>
        <v>3.0293367346938774E-2</v>
      </c>
      <c r="G537" s="2"/>
      <c r="H537" s="12">
        <f t="shared" si="46"/>
        <v>95</v>
      </c>
      <c r="I537" s="2"/>
      <c r="J537" s="9">
        <v>3136</v>
      </c>
      <c r="K537" s="2"/>
    </row>
    <row r="538" spans="1:12" x14ac:dyDescent="0.25">
      <c r="A538" t="s">
        <v>272</v>
      </c>
      <c r="B538" t="s">
        <v>11</v>
      </c>
      <c r="C538" t="s">
        <v>12</v>
      </c>
      <c r="D538" s="16">
        <f>ROUNDUP((5873.95),0)</f>
        <v>5874</v>
      </c>
      <c r="E538" s="2"/>
      <c r="F538" s="37">
        <f t="shared" si="45"/>
        <v>2.9984218832193581E-2</v>
      </c>
      <c r="G538" s="2"/>
      <c r="H538" s="12">
        <f t="shared" si="46"/>
        <v>171</v>
      </c>
      <c r="I538" s="2"/>
      <c r="J538" s="9">
        <v>5703</v>
      </c>
      <c r="K538" s="2"/>
    </row>
    <row r="539" spans="1:12" x14ac:dyDescent="0.25">
      <c r="A539" t="s">
        <v>272</v>
      </c>
      <c r="B539" t="s">
        <v>15</v>
      </c>
      <c r="C539" t="s">
        <v>16</v>
      </c>
      <c r="D539" s="16">
        <v>9000</v>
      </c>
      <c r="E539" s="2"/>
      <c r="F539" s="37">
        <f t="shared" si="45"/>
        <v>1.1428571428571428</v>
      </c>
      <c r="G539" s="2"/>
      <c r="H539" s="12">
        <f t="shared" si="46"/>
        <v>4800</v>
      </c>
      <c r="I539" s="2"/>
      <c r="J539" s="9">
        <v>4200</v>
      </c>
      <c r="K539" s="2"/>
    </row>
    <row r="540" spans="1:12" x14ac:dyDescent="0.25">
      <c r="A540" t="s">
        <v>272</v>
      </c>
      <c r="B540" t="s">
        <v>19</v>
      </c>
      <c r="C540" t="s">
        <v>20</v>
      </c>
      <c r="D540" s="16">
        <v>500</v>
      </c>
      <c r="E540" s="2"/>
      <c r="F540" s="37">
        <f t="shared" si="45"/>
        <v>0.66666666666666663</v>
      </c>
      <c r="G540" s="2"/>
      <c r="H540" s="12">
        <f t="shared" si="46"/>
        <v>200</v>
      </c>
      <c r="I540" s="2"/>
      <c r="J540" s="9">
        <v>300</v>
      </c>
      <c r="K540" s="2"/>
    </row>
    <row r="541" spans="1:12" x14ac:dyDescent="0.25">
      <c r="A541" t="s">
        <v>272</v>
      </c>
      <c r="B541" t="s">
        <v>21</v>
      </c>
      <c r="C541" t="s">
        <v>22</v>
      </c>
      <c r="D541" s="16">
        <v>10100</v>
      </c>
      <c r="E541" s="2"/>
      <c r="F541" s="37">
        <f t="shared" si="45"/>
        <v>0.68333333333333335</v>
      </c>
      <c r="G541" s="2"/>
      <c r="H541" s="12">
        <f t="shared" si="46"/>
        <v>4100</v>
      </c>
      <c r="I541" s="2"/>
      <c r="J541" s="9">
        <v>6000</v>
      </c>
      <c r="K541" s="2"/>
    </row>
    <row r="542" spans="1:12" x14ac:dyDescent="0.25">
      <c r="A542" t="s">
        <v>272</v>
      </c>
      <c r="B542" t="s">
        <v>40</v>
      </c>
      <c r="C542" t="s">
        <v>41</v>
      </c>
      <c r="D542" s="16">
        <v>695</v>
      </c>
      <c r="E542" s="2"/>
      <c r="F542" s="37">
        <f t="shared" si="45"/>
        <v>0</v>
      </c>
      <c r="G542" s="2"/>
      <c r="H542" s="12">
        <f t="shared" si="46"/>
        <v>0</v>
      </c>
      <c r="I542" s="2"/>
      <c r="J542" s="9">
        <v>695</v>
      </c>
      <c r="K542" s="2"/>
    </row>
    <row r="543" spans="1:12" x14ac:dyDescent="0.25">
      <c r="A543" t="s">
        <v>272</v>
      </c>
      <c r="B543" t="s">
        <v>23</v>
      </c>
      <c r="C543" t="s">
        <v>273</v>
      </c>
      <c r="D543" s="16">
        <v>3500</v>
      </c>
      <c r="E543" s="2"/>
      <c r="F543" s="37">
        <f t="shared" si="45"/>
        <v>0</v>
      </c>
      <c r="G543" s="2"/>
      <c r="H543" s="12">
        <f t="shared" si="46"/>
        <v>0</v>
      </c>
      <c r="I543" s="2"/>
      <c r="J543" s="9">
        <v>3500</v>
      </c>
      <c r="K543" s="2"/>
    </row>
    <row r="544" spans="1:12" x14ac:dyDescent="0.25">
      <c r="A544" t="s">
        <v>272</v>
      </c>
      <c r="B544" t="s">
        <v>42</v>
      </c>
      <c r="C544" t="s">
        <v>43</v>
      </c>
      <c r="D544" s="16">
        <v>2500</v>
      </c>
      <c r="E544" s="2"/>
      <c r="F544" s="37">
        <f t="shared" si="45"/>
        <v>0.1111111111111111</v>
      </c>
      <c r="G544" s="2"/>
      <c r="H544" s="12">
        <f t="shared" si="46"/>
        <v>250</v>
      </c>
      <c r="I544" s="2"/>
      <c r="J544" s="9">
        <v>2250</v>
      </c>
      <c r="K544" s="2"/>
    </row>
    <row r="545" spans="1:11" x14ac:dyDescent="0.25">
      <c r="A545" t="s">
        <v>272</v>
      </c>
      <c r="B545" t="s">
        <v>274</v>
      </c>
      <c r="C545" t="s">
        <v>275</v>
      </c>
      <c r="D545" s="16">
        <v>10810</v>
      </c>
      <c r="E545" s="2"/>
      <c r="F545" s="37">
        <f t="shared" si="45"/>
        <v>3.28683355627747E-2</v>
      </c>
      <c r="G545" s="2"/>
      <c r="H545" s="12">
        <f t="shared" si="46"/>
        <v>344</v>
      </c>
      <c r="I545" s="2"/>
      <c r="J545" s="9">
        <v>10466</v>
      </c>
      <c r="K545" s="2"/>
    </row>
    <row r="546" spans="1:11" x14ac:dyDescent="0.25">
      <c r="A546" t="s">
        <v>272</v>
      </c>
      <c r="B546" t="s">
        <v>65</v>
      </c>
      <c r="C546" t="s">
        <v>276</v>
      </c>
      <c r="D546" s="16">
        <v>1200</v>
      </c>
      <c r="E546" s="2"/>
      <c r="F546" s="37">
        <f t="shared" si="45"/>
        <v>1.2857142857142858</v>
      </c>
      <c r="G546" s="2"/>
      <c r="H546" s="12">
        <f t="shared" si="46"/>
        <v>675</v>
      </c>
      <c r="I546" s="2"/>
      <c r="J546" s="9">
        <v>525</v>
      </c>
      <c r="K546" s="2"/>
    </row>
    <row r="547" spans="1:11" x14ac:dyDescent="0.25">
      <c r="A547" t="s">
        <v>272</v>
      </c>
      <c r="B547" t="s">
        <v>44</v>
      </c>
      <c r="C547" t="s">
        <v>45</v>
      </c>
      <c r="D547" s="16">
        <v>5500</v>
      </c>
      <c r="E547" s="2"/>
      <c r="F547" s="37">
        <f t="shared" si="45"/>
        <v>4.2380952380952381</v>
      </c>
      <c r="G547" s="2"/>
      <c r="H547" s="12">
        <f t="shared" si="46"/>
        <v>4450</v>
      </c>
      <c r="I547" s="2"/>
      <c r="J547" s="9">
        <v>1050</v>
      </c>
      <c r="K547" s="2"/>
    </row>
    <row r="548" spans="1:11" ht="105" x14ac:dyDescent="0.25">
      <c r="A548" s="1" t="s">
        <v>0</v>
      </c>
      <c r="B548" s="1" t="s">
        <v>1</v>
      </c>
      <c r="C548" s="1" t="s">
        <v>2</v>
      </c>
      <c r="D548" s="5" t="s">
        <v>337</v>
      </c>
      <c r="E548" s="1"/>
      <c r="F548" s="5" t="s">
        <v>409</v>
      </c>
      <c r="G548" s="1"/>
      <c r="H548" s="5" t="s">
        <v>410</v>
      </c>
      <c r="I548" s="1"/>
      <c r="J548" s="4" t="s">
        <v>335</v>
      </c>
      <c r="K548" s="1"/>
    </row>
    <row r="549" spans="1:11" x14ac:dyDescent="0.25">
      <c r="D549" s="2"/>
      <c r="E549" s="2"/>
      <c r="F549" s="2"/>
      <c r="G549" s="2"/>
      <c r="H549" s="2"/>
      <c r="I549" s="2"/>
      <c r="K549" s="2"/>
    </row>
    <row r="550" spans="1:11" x14ac:dyDescent="0.25">
      <c r="A550" t="s">
        <v>5</v>
      </c>
      <c r="B550" t="s">
        <v>5</v>
      </c>
      <c r="C550" s="1" t="s">
        <v>377</v>
      </c>
      <c r="D550" s="8">
        <f>SUM(D533:D547)</f>
        <v>137945</v>
      </c>
      <c r="E550" s="2"/>
      <c r="F550" s="15">
        <f>H550/J550</f>
        <v>0.14691332363334025</v>
      </c>
      <c r="G550" s="2"/>
      <c r="H550" s="8">
        <f>SUM(H533:H547)</f>
        <v>17670</v>
      </c>
      <c r="I550" s="2"/>
      <c r="J550" s="8">
        <f>SUM(J533:J547)</f>
        <v>120275</v>
      </c>
      <c r="K550" s="2"/>
    </row>
    <row r="551" spans="1:11" x14ac:dyDescent="0.25">
      <c r="D551" s="2"/>
      <c r="E551" s="2"/>
      <c r="F551" s="2"/>
      <c r="G551" s="2"/>
      <c r="H551" s="2"/>
      <c r="I551" s="2"/>
      <c r="J551" s="26"/>
      <c r="K551" s="2"/>
    </row>
    <row r="552" spans="1:11" x14ac:dyDescent="0.25">
      <c r="C552" s="1" t="s">
        <v>407</v>
      </c>
      <c r="D552" s="17">
        <f>D550+D531+D522+D479+D456+D450+D416+D406+D352+D332+D311+D302+D267+D227+D214+D206</f>
        <v>12129523</v>
      </c>
      <c r="E552" s="2"/>
      <c r="F552" s="27">
        <f>H552/J552</f>
        <v>0.10818099052253291</v>
      </c>
      <c r="G552" s="2"/>
      <c r="H552" s="17">
        <f>H550+H531+H522+H479+H456+H450+H416+H406+H352+H332+H311+H302+H267+H227+H214+H206</f>
        <v>1184088</v>
      </c>
      <c r="I552" s="2"/>
      <c r="J552" s="17">
        <f>J550+J531+J522+J479+J456+J450+J416+J406+J352+J332+J311+J302+J267+J227+J214+J206</f>
        <v>10945435</v>
      </c>
      <c r="K552" s="2"/>
    </row>
    <row r="553" spans="1:11" s="30" customFormat="1" x14ac:dyDescent="0.25">
      <c r="C553" s="31"/>
      <c r="D553" s="35"/>
      <c r="E553" s="25"/>
      <c r="F553" s="35"/>
      <c r="G553" s="25"/>
      <c r="H553" s="35"/>
      <c r="I553" s="25"/>
      <c r="J553" s="32"/>
      <c r="K553" s="25"/>
    </row>
    <row r="554" spans="1:11" x14ac:dyDescent="0.25">
      <c r="D554" s="2"/>
      <c r="E554" s="2"/>
      <c r="F554" s="2"/>
      <c r="G554" s="2"/>
      <c r="H554" s="2"/>
      <c r="I554" s="2"/>
      <c r="J554" s="26"/>
      <c r="K554" s="2"/>
    </row>
    <row r="555" spans="1:11" x14ac:dyDescent="0.25">
      <c r="A555" t="s">
        <v>277</v>
      </c>
      <c r="B555" t="s">
        <v>278</v>
      </c>
      <c r="C555" t="s">
        <v>279</v>
      </c>
      <c r="D555" s="16">
        <v>24144</v>
      </c>
      <c r="E555" s="2"/>
      <c r="F555" s="37">
        <f>H555/J555</f>
        <v>5.0972881208375051E-2</v>
      </c>
      <c r="G555" s="2"/>
      <c r="H555" s="12">
        <f>D555-J555</f>
        <v>1171</v>
      </c>
      <c r="I555" s="2"/>
      <c r="J555" s="9">
        <v>22973</v>
      </c>
      <c r="K555" s="2"/>
    </row>
    <row r="556" spans="1:11" x14ac:dyDescent="0.25">
      <c r="A556" t="s">
        <v>277</v>
      </c>
      <c r="B556" t="s">
        <v>280</v>
      </c>
      <c r="C556" t="s">
        <v>281</v>
      </c>
      <c r="D556" s="16">
        <v>920550</v>
      </c>
      <c r="E556" s="2"/>
      <c r="F556" s="37">
        <f>H556/J556</f>
        <v>0.10075189048801136</v>
      </c>
      <c r="G556" s="2"/>
      <c r="H556" s="12">
        <f>D556-J556</f>
        <v>84258</v>
      </c>
      <c r="I556" s="2"/>
      <c r="J556" s="9">
        <v>836292</v>
      </c>
      <c r="K556" s="2"/>
    </row>
    <row r="557" spans="1:11" x14ac:dyDescent="0.25">
      <c r="D557" s="2"/>
      <c r="E557" s="2"/>
      <c r="F557" s="2"/>
      <c r="G557" s="2"/>
      <c r="H557" s="2"/>
      <c r="I557" s="2"/>
      <c r="K557" s="2"/>
    </row>
    <row r="558" spans="1:11" x14ac:dyDescent="0.25">
      <c r="A558" t="s">
        <v>5</v>
      </c>
      <c r="B558" t="s">
        <v>5</v>
      </c>
      <c r="C558" s="1" t="s">
        <v>376</v>
      </c>
      <c r="D558" s="8">
        <f>SUM(D555:D556)</f>
        <v>944694</v>
      </c>
      <c r="E558" s="2"/>
      <c r="F558" s="15">
        <f>H558/J558</f>
        <v>9.9421016799241216E-2</v>
      </c>
      <c r="G558" s="2"/>
      <c r="H558" s="8">
        <f>SUM(H555:H556)</f>
        <v>85429</v>
      </c>
      <c r="I558" s="2"/>
      <c r="J558" s="8">
        <f>SUM(J555:J556)</f>
        <v>859265</v>
      </c>
      <c r="K558" s="2"/>
    </row>
    <row r="559" spans="1:11" x14ac:dyDescent="0.25">
      <c r="D559" s="2"/>
      <c r="E559" s="2"/>
      <c r="F559" s="2"/>
      <c r="G559" s="2"/>
      <c r="H559" s="2"/>
      <c r="I559" s="2"/>
      <c r="K559" s="2"/>
    </row>
    <row r="560" spans="1:11" x14ac:dyDescent="0.25">
      <c r="A560" t="s">
        <v>282</v>
      </c>
      <c r="B560" t="s">
        <v>284</v>
      </c>
      <c r="C560" t="s">
        <v>285</v>
      </c>
      <c r="D560" s="16">
        <v>53040</v>
      </c>
      <c r="E560" s="2"/>
      <c r="F560" s="37">
        <f>H560/J560</f>
        <v>0</v>
      </c>
      <c r="G560" s="2"/>
      <c r="H560" s="12">
        <f t="shared" ref="H560:H570" si="47">D560-J560</f>
        <v>0</v>
      </c>
      <c r="I560" s="2"/>
      <c r="J560" s="12">
        <v>53040</v>
      </c>
      <c r="K560" s="2"/>
    </row>
    <row r="561" spans="1:14" x14ac:dyDescent="0.25">
      <c r="A561" t="s">
        <v>282</v>
      </c>
      <c r="B561" t="s">
        <v>286</v>
      </c>
      <c r="C561" t="s">
        <v>287</v>
      </c>
      <c r="D561" s="16">
        <f>ROUNDUP((43779.72),0)</f>
        <v>43780</v>
      </c>
      <c r="E561" s="2"/>
      <c r="F561" s="37">
        <f>H561/J561</f>
        <v>0</v>
      </c>
      <c r="G561" s="2"/>
      <c r="H561" s="12">
        <f t="shared" si="47"/>
        <v>0</v>
      </c>
      <c r="I561" s="2"/>
      <c r="J561" s="12">
        <v>43780</v>
      </c>
      <c r="K561" s="2"/>
    </row>
    <row r="562" spans="1:14" x14ac:dyDescent="0.25">
      <c r="A562" t="s">
        <v>282</v>
      </c>
      <c r="B562" t="s">
        <v>288</v>
      </c>
      <c r="C562" t="s">
        <v>289</v>
      </c>
      <c r="D562" s="16">
        <v>150000</v>
      </c>
      <c r="E562" s="2"/>
      <c r="F562" s="37">
        <f>H562/J562</f>
        <v>0</v>
      </c>
      <c r="G562" s="2"/>
      <c r="H562" s="12">
        <f t="shared" si="47"/>
        <v>0</v>
      </c>
      <c r="I562" s="2"/>
      <c r="J562" s="12">
        <v>150000</v>
      </c>
      <c r="K562" s="2"/>
    </row>
    <row r="563" spans="1:14" x14ac:dyDescent="0.25">
      <c r="A563" t="s">
        <v>282</v>
      </c>
      <c r="B563" t="s">
        <v>290</v>
      </c>
      <c r="C563" t="s">
        <v>291</v>
      </c>
      <c r="D563" s="16">
        <v>150000</v>
      </c>
      <c r="E563" s="2"/>
      <c r="F563" s="37">
        <f>H563/J563</f>
        <v>0</v>
      </c>
      <c r="G563" s="2"/>
      <c r="H563" s="12">
        <f t="shared" si="47"/>
        <v>0</v>
      </c>
      <c r="I563" s="2"/>
      <c r="J563" s="12">
        <v>150000</v>
      </c>
      <c r="K563" s="2"/>
    </row>
    <row r="564" spans="1:14" x14ac:dyDescent="0.25">
      <c r="A564" t="s">
        <v>282</v>
      </c>
      <c r="B564" t="s">
        <v>387</v>
      </c>
      <c r="C564" t="s">
        <v>394</v>
      </c>
      <c r="D564" s="16">
        <f>ROUNDUP((186666.67),0)</f>
        <v>186667</v>
      </c>
      <c r="E564" s="2"/>
      <c r="F564" s="37">
        <v>1</v>
      </c>
      <c r="G564" s="2"/>
      <c r="H564" s="12">
        <f t="shared" si="47"/>
        <v>186667</v>
      </c>
      <c r="I564" s="2"/>
      <c r="J564" s="12">
        <v>0</v>
      </c>
      <c r="K564" s="2"/>
    </row>
    <row r="565" spans="1:14" x14ac:dyDescent="0.25">
      <c r="A565" t="s">
        <v>282</v>
      </c>
      <c r="B565" t="s">
        <v>292</v>
      </c>
      <c r="C565" t="s">
        <v>293</v>
      </c>
      <c r="D565" s="16">
        <f>ROUNDUP((12924.93),0)</f>
        <v>12925</v>
      </c>
      <c r="E565" s="2"/>
      <c r="F565" s="37">
        <f>H565/J565</f>
        <v>-0.10578386605783865</v>
      </c>
      <c r="G565" s="2"/>
      <c r="H565" s="12">
        <f t="shared" si="47"/>
        <v>-1529</v>
      </c>
      <c r="I565" s="2"/>
      <c r="J565" s="12">
        <v>14454</v>
      </c>
      <c r="K565" s="2"/>
    </row>
    <row r="566" spans="1:14" x14ac:dyDescent="0.25">
      <c r="A566" t="s">
        <v>282</v>
      </c>
      <c r="B566" t="s">
        <v>294</v>
      </c>
      <c r="C566" t="s">
        <v>295</v>
      </c>
      <c r="D566" s="16">
        <f>ROUNDUP((13645.42),0)</f>
        <v>13646</v>
      </c>
      <c r="E566" s="2"/>
      <c r="F566" s="37">
        <f>H566/J566</f>
        <v>0</v>
      </c>
      <c r="G566" s="2"/>
      <c r="H566" s="12">
        <f t="shared" si="47"/>
        <v>0</v>
      </c>
      <c r="I566" s="2"/>
      <c r="J566" s="12">
        <v>13646</v>
      </c>
      <c r="K566" s="2"/>
    </row>
    <row r="567" spans="1:14" x14ac:dyDescent="0.25">
      <c r="A567" t="s">
        <v>282</v>
      </c>
      <c r="B567" t="s">
        <v>296</v>
      </c>
      <c r="C567" t="s">
        <v>297</v>
      </c>
      <c r="D567" s="16">
        <f>ROUNDUP((16612.5),0)</f>
        <v>16613</v>
      </c>
      <c r="E567" s="2"/>
      <c r="F567" s="37">
        <f>H567/J567</f>
        <v>-0.15489876894902838</v>
      </c>
      <c r="G567" s="2"/>
      <c r="H567" s="12">
        <f t="shared" si="47"/>
        <v>-3045</v>
      </c>
      <c r="I567" s="2"/>
      <c r="J567" s="12">
        <v>19658</v>
      </c>
      <c r="K567" s="2"/>
    </row>
    <row r="568" spans="1:14" x14ac:dyDescent="0.25">
      <c r="A568" t="s">
        <v>282</v>
      </c>
      <c r="B568" t="s">
        <v>298</v>
      </c>
      <c r="C568" t="s">
        <v>299</v>
      </c>
      <c r="D568" s="16">
        <v>17183</v>
      </c>
      <c r="E568" s="2"/>
      <c r="F568" s="37">
        <v>1</v>
      </c>
      <c r="G568" s="2"/>
      <c r="H568" s="12">
        <f t="shared" si="47"/>
        <v>17183</v>
      </c>
      <c r="I568" s="2"/>
      <c r="J568" s="12">
        <v>0</v>
      </c>
      <c r="K568" s="2"/>
    </row>
    <row r="569" spans="1:14" x14ac:dyDescent="0.25">
      <c r="A569" t="s">
        <v>282</v>
      </c>
      <c r="B569" t="s">
        <v>300</v>
      </c>
      <c r="C569" t="s">
        <v>301</v>
      </c>
      <c r="D569" s="16">
        <f>ROUNDUP((86772),0)</f>
        <v>86772</v>
      </c>
      <c r="E569" s="2"/>
      <c r="F569" s="37">
        <f>H569/J569</f>
        <v>2.5382870107770846E-2</v>
      </c>
      <c r="G569" s="2"/>
      <c r="H569" s="12">
        <f t="shared" si="47"/>
        <v>2148</v>
      </c>
      <c r="I569" s="2"/>
      <c r="J569" s="12">
        <v>84624</v>
      </c>
      <c r="K569" s="2"/>
    </row>
    <row r="570" spans="1:14" x14ac:dyDescent="0.25">
      <c r="A570" t="s">
        <v>282</v>
      </c>
      <c r="B570" t="s">
        <v>387</v>
      </c>
      <c r="C570" t="s">
        <v>434</v>
      </c>
      <c r="D570" s="16">
        <v>7500</v>
      </c>
      <c r="E570" s="2"/>
      <c r="F570" s="37">
        <v>0</v>
      </c>
      <c r="G570" s="2"/>
      <c r="H570" s="12">
        <f t="shared" si="47"/>
        <v>7500</v>
      </c>
      <c r="I570" s="2"/>
      <c r="J570" s="12">
        <v>0</v>
      </c>
      <c r="K570" s="2"/>
    </row>
    <row r="571" spans="1:14" x14ac:dyDescent="0.25">
      <c r="D571" s="2"/>
      <c r="E571" s="2"/>
      <c r="F571" s="2"/>
      <c r="G571" s="2"/>
      <c r="H571" s="2"/>
      <c r="I571" s="2"/>
      <c r="K571" s="2"/>
      <c r="M571" s="54" t="s">
        <v>448</v>
      </c>
      <c r="N571" s="54" t="s">
        <v>449</v>
      </c>
    </row>
    <row r="572" spans="1:14" x14ac:dyDescent="0.25">
      <c r="A572" t="s">
        <v>5</v>
      </c>
      <c r="B572" t="s">
        <v>5</v>
      </c>
      <c r="C572" s="1" t="s">
        <v>375</v>
      </c>
      <c r="D572" s="17">
        <f>SUM(D560:D570)</f>
        <v>738126</v>
      </c>
      <c r="E572" s="2"/>
      <c r="F572" s="27">
        <f>H572/J572</f>
        <v>0.39479064704970879</v>
      </c>
      <c r="G572" s="2"/>
      <c r="H572" s="17">
        <f>SUM(H560:H570)</f>
        <v>208924</v>
      </c>
      <c r="I572" s="2"/>
      <c r="J572" s="17">
        <f>SUM(J560:J570)</f>
        <v>529202</v>
      </c>
      <c r="K572" s="2"/>
    </row>
    <row r="573" spans="1:14" s="30" customFormat="1" ht="15.75" thickBot="1" x14ac:dyDescent="0.3">
      <c r="C573" s="31"/>
      <c r="D573" s="32"/>
      <c r="E573" s="25"/>
      <c r="F573" s="32"/>
      <c r="G573" s="25"/>
      <c r="H573" s="32"/>
      <c r="I573" s="25"/>
      <c r="J573" s="32"/>
      <c r="K573" s="25"/>
      <c r="L573" s="30" t="s">
        <v>445</v>
      </c>
      <c r="M573" s="52">
        <f>D552</f>
        <v>12129523</v>
      </c>
      <c r="N573" s="52">
        <f>J552</f>
        <v>10945435</v>
      </c>
    </row>
    <row r="574" spans="1:14" s="30" customFormat="1" ht="30.75" thickTop="1" x14ac:dyDescent="0.25">
      <c r="C574" s="34" t="s">
        <v>395</v>
      </c>
      <c r="D574" s="17">
        <f>D572+D558+D552</f>
        <v>13812343</v>
      </c>
      <c r="E574" s="25"/>
      <c r="F574" s="27">
        <f>H574/J574</f>
        <v>0.11986806770477015</v>
      </c>
      <c r="G574" s="25"/>
      <c r="H574" s="17">
        <f>H572+H558+H552</f>
        <v>1478441</v>
      </c>
      <c r="I574" s="25"/>
      <c r="J574" s="17">
        <f>J572+J558+J552</f>
        <v>12333902</v>
      </c>
      <c r="K574" s="25"/>
      <c r="L574" s="30" t="s">
        <v>446</v>
      </c>
      <c r="M574" s="51">
        <f>D574-D572+D186</f>
        <v>20769940</v>
      </c>
      <c r="N574" s="51">
        <f>J574-J572+J186</f>
        <v>19537582</v>
      </c>
    </row>
    <row r="575" spans="1:14" s="30" customFormat="1" x14ac:dyDescent="0.25">
      <c r="C575" s="34"/>
      <c r="D575" s="32"/>
      <c r="E575" s="25"/>
      <c r="F575" s="33"/>
      <c r="G575" s="25"/>
      <c r="H575" s="32"/>
      <c r="I575" s="25"/>
      <c r="J575" s="32"/>
      <c r="K575" s="25"/>
      <c r="L575" s="30" t="s">
        <v>447</v>
      </c>
      <c r="M575" s="53">
        <f>D572</f>
        <v>738126</v>
      </c>
      <c r="N575" s="53">
        <f>J572</f>
        <v>529202</v>
      </c>
    </row>
    <row r="576" spans="1:14" s="30" customFormat="1" x14ac:dyDescent="0.25">
      <c r="C576" s="34"/>
      <c r="D576" s="32"/>
      <c r="E576" s="25"/>
      <c r="I576" s="25"/>
      <c r="J576" s="32"/>
      <c r="K576" s="25"/>
      <c r="M576" s="51">
        <f>SUM(M574:M575)</f>
        <v>21508066</v>
      </c>
      <c r="N576" s="51">
        <f>N574+N575</f>
        <v>20066784</v>
      </c>
    </row>
    <row r="577" spans="1:11" s="30" customFormat="1" x14ac:dyDescent="0.25">
      <c r="C577" s="34"/>
      <c r="D577" s="32"/>
      <c r="E577" s="25"/>
      <c r="F577" s="33"/>
      <c r="G577" s="25"/>
      <c r="H577" s="32"/>
      <c r="I577" s="25"/>
      <c r="J577" s="32"/>
      <c r="K577" s="25"/>
    </row>
    <row r="578" spans="1:11" s="30" customFormat="1" ht="30" x14ac:dyDescent="0.25">
      <c r="C578" s="34" t="s">
        <v>451</v>
      </c>
      <c r="D578" s="42">
        <f>D552+D572</f>
        <v>12867649</v>
      </c>
      <c r="E578" s="25"/>
      <c r="F578" s="33"/>
      <c r="G578" s="25"/>
      <c r="H578" s="42">
        <f>D578-J578</f>
        <v>1393012</v>
      </c>
      <c r="I578" s="25"/>
      <c r="J578" s="17">
        <f>J552+J572</f>
        <v>11474637</v>
      </c>
      <c r="K578" s="25"/>
    </row>
    <row r="579" spans="1:11" s="30" customFormat="1" ht="14.25" customHeight="1" x14ac:dyDescent="0.25">
      <c r="C579" s="34"/>
      <c r="D579" s="32"/>
      <c r="E579" s="25"/>
      <c r="F579" s="33"/>
      <c r="G579" s="25"/>
      <c r="H579" s="32"/>
      <c r="I579" s="25"/>
      <c r="J579" s="32"/>
      <c r="K579" s="25"/>
    </row>
    <row r="580" spans="1:11" s="30" customFormat="1" ht="14.25" customHeight="1" x14ac:dyDescent="0.25">
      <c r="C580" s="34"/>
      <c r="D580" s="32"/>
      <c r="E580" s="25"/>
      <c r="F580" s="33" t="s">
        <v>439</v>
      </c>
      <c r="G580" s="25"/>
      <c r="H580" s="42">
        <f>-ROUNDUP((471942.67),0)</f>
        <v>-471943</v>
      </c>
      <c r="I580" s="25"/>
      <c r="J580" s="32"/>
      <c r="K580" s="25"/>
    </row>
    <row r="581" spans="1:11" s="30" customFormat="1" ht="14.25" customHeight="1" x14ac:dyDescent="0.25">
      <c r="C581" s="34"/>
      <c r="D581" s="32"/>
      <c r="E581" s="25"/>
      <c r="F581" s="33"/>
      <c r="G581" s="25"/>
      <c r="H581" s="32"/>
      <c r="I581" s="25"/>
      <c r="J581" s="32"/>
      <c r="K581" s="25"/>
    </row>
    <row r="582" spans="1:11" ht="105" x14ac:dyDescent="0.25">
      <c r="A582" s="1" t="s">
        <v>0</v>
      </c>
      <c r="B582" s="1" t="s">
        <v>1</v>
      </c>
      <c r="C582" s="1" t="s">
        <v>2</v>
      </c>
      <c r="D582" s="5" t="s">
        <v>337</v>
      </c>
      <c r="E582" s="1"/>
      <c r="F582" s="5" t="s">
        <v>409</v>
      </c>
      <c r="G582" s="1"/>
      <c r="H582" s="5" t="s">
        <v>410</v>
      </c>
      <c r="I582" s="1"/>
      <c r="J582" s="4" t="s">
        <v>335</v>
      </c>
      <c r="K582" s="1"/>
    </row>
    <row r="583" spans="1:11" s="30" customFormat="1" ht="31.5" customHeight="1" x14ac:dyDescent="0.25">
      <c r="C583" s="34" t="s">
        <v>450</v>
      </c>
      <c r="D583" s="49">
        <f>D578+H580</f>
        <v>12395706</v>
      </c>
      <c r="E583" s="25"/>
      <c r="F583" s="33"/>
      <c r="G583" s="25"/>
      <c r="H583" s="49">
        <f>H578+H580</f>
        <v>921069</v>
      </c>
      <c r="I583" s="25"/>
      <c r="J583" s="32"/>
      <c r="K583" s="25"/>
    </row>
    <row r="584" spans="1:11" s="30" customFormat="1" ht="14.25" customHeight="1" x14ac:dyDescent="0.25">
      <c r="C584" s="34"/>
      <c r="D584" s="32"/>
      <c r="E584" s="25"/>
      <c r="F584" s="33"/>
      <c r="G584" s="25"/>
      <c r="H584" s="32"/>
      <c r="I584" s="25"/>
      <c r="J584" s="32"/>
      <c r="K584" s="25"/>
    </row>
    <row r="585" spans="1:11" s="30" customFormat="1" x14ac:dyDescent="0.25">
      <c r="D585" s="25"/>
      <c r="E585" s="25"/>
      <c r="F585" s="25"/>
      <c r="G585" s="25"/>
      <c r="H585" s="25"/>
      <c r="I585" s="25"/>
      <c r="J585" s="26"/>
      <c r="K585" s="25"/>
    </row>
    <row r="586" spans="1:11" x14ac:dyDescent="0.25">
      <c r="A586" t="s">
        <v>302</v>
      </c>
      <c r="B586" t="s">
        <v>57</v>
      </c>
      <c r="C586" t="s">
        <v>58</v>
      </c>
      <c r="D586" s="47">
        <f>ROUNDUP((99992.88),0)</f>
        <v>99993</v>
      </c>
      <c r="E586" s="2"/>
      <c r="F586" s="37">
        <f t="shared" ref="F586:F617" si="48">H586/J586</f>
        <v>8.1519858094661238E-2</v>
      </c>
      <c r="G586" s="2"/>
      <c r="H586" s="12">
        <f t="shared" ref="H586:H617" si="49">D586-J586</f>
        <v>7537</v>
      </c>
      <c r="I586" s="2"/>
      <c r="J586" s="12">
        <v>92456</v>
      </c>
      <c r="K586" s="2"/>
    </row>
    <row r="587" spans="1:11" x14ac:dyDescent="0.25">
      <c r="A587" t="s">
        <v>302</v>
      </c>
      <c r="B587" t="s">
        <v>30</v>
      </c>
      <c r="C587" t="s">
        <v>31</v>
      </c>
      <c r="D587" s="47">
        <f>ROUNDUP((249589.6),0)</f>
        <v>249590</v>
      </c>
      <c r="E587" s="2"/>
      <c r="F587" s="37">
        <f t="shared" si="48"/>
        <v>3.2396032396032393E-2</v>
      </c>
      <c r="G587" s="2"/>
      <c r="H587" s="12">
        <f t="shared" si="49"/>
        <v>7832</v>
      </c>
      <c r="I587" s="2"/>
      <c r="J587" s="12">
        <v>241758</v>
      </c>
      <c r="K587" s="2"/>
    </row>
    <row r="588" spans="1:11" x14ac:dyDescent="0.25">
      <c r="A588" t="s">
        <v>302</v>
      </c>
      <c r="B588" t="s">
        <v>32</v>
      </c>
      <c r="C588" t="s">
        <v>303</v>
      </c>
      <c r="D588" s="48">
        <f>ROUNDUP((18286.46),0)</f>
        <v>18287</v>
      </c>
      <c r="E588" s="2"/>
      <c r="F588" s="37">
        <f t="shared" si="48"/>
        <v>-8.0454568310956903E-2</v>
      </c>
      <c r="G588" s="2"/>
      <c r="H588" s="12">
        <f t="shared" si="49"/>
        <v>-1600</v>
      </c>
      <c r="I588" s="2"/>
      <c r="J588" s="12">
        <v>19887</v>
      </c>
      <c r="K588" s="2"/>
    </row>
    <row r="589" spans="1:11" x14ac:dyDescent="0.25">
      <c r="A589" t="s">
        <v>302</v>
      </c>
      <c r="B589" t="s">
        <v>61</v>
      </c>
      <c r="C589" t="s">
        <v>62</v>
      </c>
      <c r="D589" s="47">
        <v>22900</v>
      </c>
      <c r="E589" s="2"/>
      <c r="F589" s="37">
        <f t="shared" si="48"/>
        <v>0</v>
      </c>
      <c r="G589" s="2"/>
      <c r="H589" s="12">
        <f t="shared" si="49"/>
        <v>0</v>
      </c>
      <c r="I589" s="2"/>
      <c r="J589" s="12">
        <v>22900</v>
      </c>
      <c r="K589" s="2"/>
    </row>
    <row r="590" spans="1:11" x14ac:dyDescent="0.25">
      <c r="A590" t="s">
        <v>302</v>
      </c>
      <c r="B590" t="s">
        <v>34</v>
      </c>
      <c r="C590" t="s">
        <v>35</v>
      </c>
      <c r="D590" s="47">
        <f>ROUNDUP((411.6),0)</f>
        <v>412</v>
      </c>
      <c r="E590" s="2"/>
      <c r="F590" s="37">
        <f t="shared" si="48"/>
        <v>-7.829977628635347E-2</v>
      </c>
      <c r="G590" s="2"/>
      <c r="H590" s="12">
        <f t="shared" si="49"/>
        <v>-35</v>
      </c>
      <c r="I590" s="2"/>
      <c r="J590" s="12">
        <v>447</v>
      </c>
      <c r="K590" s="2"/>
    </row>
    <row r="591" spans="1:11" x14ac:dyDescent="0.25">
      <c r="A591" t="s">
        <v>302</v>
      </c>
      <c r="B591" t="s">
        <v>9</v>
      </c>
      <c r="C591" t="s">
        <v>10</v>
      </c>
      <c r="D591" s="47">
        <f>ROUNDUP((13433.21),0)</f>
        <v>13434</v>
      </c>
      <c r="E591" s="2"/>
      <c r="F591" s="37">
        <f t="shared" si="48"/>
        <v>0.29260078899259118</v>
      </c>
      <c r="G591" s="2"/>
      <c r="H591" s="12">
        <f t="shared" si="49"/>
        <v>3041</v>
      </c>
      <c r="I591" s="2"/>
      <c r="J591" s="12">
        <v>10393</v>
      </c>
      <c r="K591" s="2"/>
    </row>
    <row r="592" spans="1:11" x14ac:dyDescent="0.25">
      <c r="A592" t="s">
        <v>302</v>
      </c>
      <c r="B592" t="s">
        <v>36</v>
      </c>
      <c r="C592" t="s">
        <v>304</v>
      </c>
      <c r="D592" s="47">
        <f>ROUNDUP((37993.21),0)</f>
        <v>37994</v>
      </c>
      <c r="E592" s="2"/>
      <c r="F592" s="37">
        <f t="shared" si="48"/>
        <v>4.3046175808488442E-2</v>
      </c>
      <c r="G592" s="2"/>
      <c r="H592" s="12">
        <f t="shared" si="49"/>
        <v>1568</v>
      </c>
      <c r="I592" s="2"/>
      <c r="J592" s="12">
        <v>36426</v>
      </c>
      <c r="K592" s="2"/>
    </row>
    <row r="593" spans="1:11" x14ac:dyDescent="0.25">
      <c r="A593" t="s">
        <v>302</v>
      </c>
      <c r="B593" t="s">
        <v>305</v>
      </c>
      <c r="C593" t="s">
        <v>306</v>
      </c>
      <c r="D593" s="48">
        <f>ROUNDUP((6070.61),0)</f>
        <v>6071</v>
      </c>
      <c r="E593" s="2"/>
      <c r="F593" s="37">
        <f t="shared" si="48"/>
        <v>-0.30838459785828209</v>
      </c>
      <c r="G593" s="2"/>
      <c r="H593" s="12">
        <f t="shared" si="49"/>
        <v>-2707</v>
      </c>
      <c r="I593" s="2"/>
      <c r="J593" s="12">
        <v>8778</v>
      </c>
      <c r="K593" s="2"/>
    </row>
    <row r="594" spans="1:11" x14ac:dyDescent="0.25">
      <c r="A594" t="s">
        <v>302</v>
      </c>
      <c r="B594" t="s">
        <v>38</v>
      </c>
      <c r="C594" t="s">
        <v>307</v>
      </c>
      <c r="D594" s="47">
        <f>ROUNDUP((76386.33),0)</f>
        <v>76387</v>
      </c>
      <c r="E594" s="2"/>
      <c r="F594" s="37">
        <f t="shared" si="48"/>
        <v>-0.32282229038492227</v>
      </c>
      <c r="G594" s="2"/>
      <c r="H594" s="12">
        <f t="shared" si="49"/>
        <v>-36415</v>
      </c>
      <c r="I594" s="2"/>
      <c r="J594" s="12">
        <v>112802</v>
      </c>
      <c r="K594" s="2"/>
    </row>
    <row r="595" spans="1:11" x14ac:dyDescent="0.25">
      <c r="A595" t="s">
        <v>302</v>
      </c>
      <c r="B595" t="s">
        <v>90</v>
      </c>
      <c r="C595" t="s">
        <v>91</v>
      </c>
      <c r="D595" s="48">
        <f>ROUNDUP((3724*1.03),0)</f>
        <v>3836</v>
      </c>
      <c r="E595" s="2"/>
      <c r="F595" s="37">
        <f t="shared" si="48"/>
        <v>3.007518796992481E-2</v>
      </c>
      <c r="G595" s="2"/>
      <c r="H595" s="12">
        <f t="shared" si="49"/>
        <v>112</v>
      </c>
      <c r="I595" s="2"/>
      <c r="J595" s="12">
        <v>3724</v>
      </c>
      <c r="K595" s="2"/>
    </row>
    <row r="596" spans="1:11" x14ac:dyDescent="0.25">
      <c r="A596" t="s">
        <v>302</v>
      </c>
      <c r="B596" t="s">
        <v>11</v>
      </c>
      <c r="C596" t="s">
        <v>118</v>
      </c>
      <c r="D596" s="47">
        <f>ROUNDUP((28494.91),0)</f>
        <v>28495</v>
      </c>
      <c r="E596" s="2"/>
      <c r="F596" s="37">
        <f t="shared" si="48"/>
        <v>3.7011427323677126E-2</v>
      </c>
      <c r="G596" s="2"/>
      <c r="H596" s="12">
        <f t="shared" si="49"/>
        <v>1017</v>
      </c>
      <c r="I596" s="2"/>
      <c r="J596" s="12">
        <v>27478</v>
      </c>
      <c r="K596" s="2"/>
    </row>
    <row r="597" spans="1:11" x14ac:dyDescent="0.25">
      <c r="A597" t="s">
        <v>302</v>
      </c>
      <c r="B597" t="s">
        <v>192</v>
      </c>
      <c r="C597" t="s">
        <v>193</v>
      </c>
      <c r="D597" s="47">
        <v>400</v>
      </c>
      <c r="E597" s="2"/>
      <c r="F597" s="37">
        <f t="shared" si="48"/>
        <v>0.6</v>
      </c>
      <c r="G597" s="2"/>
      <c r="H597" s="12">
        <f t="shared" si="49"/>
        <v>150</v>
      </c>
      <c r="I597" s="2"/>
      <c r="J597" s="12">
        <v>250</v>
      </c>
      <c r="K597" s="2"/>
    </row>
    <row r="598" spans="1:11" x14ac:dyDescent="0.25">
      <c r="A598" t="s">
        <v>302</v>
      </c>
      <c r="B598" t="s">
        <v>13</v>
      </c>
      <c r="C598" t="s">
        <v>308</v>
      </c>
      <c r="D598" s="47">
        <v>2500</v>
      </c>
      <c r="E598" s="2"/>
      <c r="F598" s="37">
        <f t="shared" si="48"/>
        <v>0</v>
      </c>
      <c r="G598" s="2"/>
      <c r="H598" s="12">
        <f t="shared" si="49"/>
        <v>0</v>
      </c>
      <c r="I598" s="2"/>
      <c r="J598" s="12">
        <v>2500</v>
      </c>
      <c r="K598" s="2"/>
    </row>
    <row r="599" spans="1:11" x14ac:dyDescent="0.25">
      <c r="A599" t="s">
        <v>302</v>
      </c>
      <c r="B599" t="s">
        <v>227</v>
      </c>
      <c r="C599" t="s">
        <v>228</v>
      </c>
      <c r="D599" s="47">
        <v>42700</v>
      </c>
      <c r="E599" s="2"/>
      <c r="F599" s="37">
        <f t="shared" si="48"/>
        <v>0</v>
      </c>
      <c r="G599" s="2"/>
      <c r="H599" s="12">
        <f t="shared" si="49"/>
        <v>0</v>
      </c>
      <c r="I599" s="2"/>
      <c r="J599" s="12">
        <v>42700</v>
      </c>
      <c r="K599" s="2"/>
    </row>
    <row r="600" spans="1:11" x14ac:dyDescent="0.25">
      <c r="A600" t="s">
        <v>302</v>
      </c>
      <c r="B600" t="s">
        <v>19</v>
      </c>
      <c r="C600" t="s">
        <v>20</v>
      </c>
      <c r="D600" s="47">
        <v>8500</v>
      </c>
      <c r="E600" s="2"/>
      <c r="F600" s="37">
        <f t="shared" si="48"/>
        <v>0</v>
      </c>
      <c r="G600" s="2"/>
      <c r="H600" s="12">
        <f t="shared" si="49"/>
        <v>0</v>
      </c>
      <c r="I600" s="2"/>
      <c r="J600" s="12">
        <v>8500</v>
      </c>
      <c r="K600" s="2"/>
    </row>
    <row r="601" spans="1:11" x14ac:dyDescent="0.25">
      <c r="A601" t="s">
        <v>302</v>
      </c>
      <c r="B601" t="s">
        <v>21</v>
      </c>
      <c r="C601" t="s">
        <v>22</v>
      </c>
      <c r="D601" s="47">
        <v>300</v>
      </c>
      <c r="E601" s="2"/>
      <c r="F601" s="37">
        <f t="shared" si="48"/>
        <v>0</v>
      </c>
      <c r="G601" s="2"/>
      <c r="H601" s="12">
        <f t="shared" si="49"/>
        <v>0</v>
      </c>
      <c r="I601" s="2"/>
      <c r="J601" s="12">
        <v>300</v>
      </c>
      <c r="K601" s="2"/>
    </row>
    <row r="602" spans="1:11" x14ac:dyDescent="0.25">
      <c r="A602" t="s">
        <v>302</v>
      </c>
      <c r="B602" t="s">
        <v>194</v>
      </c>
      <c r="C602" t="s">
        <v>195</v>
      </c>
      <c r="D602" s="47">
        <v>400</v>
      </c>
      <c r="E602" s="2"/>
      <c r="F602" s="37">
        <f t="shared" si="48"/>
        <v>0</v>
      </c>
      <c r="G602" s="2"/>
      <c r="H602" s="12">
        <f t="shared" si="49"/>
        <v>0</v>
      </c>
      <c r="I602" s="2"/>
      <c r="J602" s="12">
        <v>400</v>
      </c>
      <c r="K602" s="2"/>
    </row>
    <row r="603" spans="1:11" x14ac:dyDescent="0.25">
      <c r="A603" t="s">
        <v>302</v>
      </c>
      <c r="B603" t="s">
        <v>309</v>
      </c>
      <c r="C603" t="s">
        <v>310</v>
      </c>
      <c r="D603" s="47">
        <v>3000</v>
      </c>
      <c r="E603" s="2"/>
      <c r="F603" s="37">
        <f t="shared" si="48"/>
        <v>0</v>
      </c>
      <c r="G603" s="2"/>
      <c r="H603" s="12">
        <f t="shared" si="49"/>
        <v>0</v>
      </c>
      <c r="I603" s="2"/>
      <c r="J603" s="12">
        <v>3000</v>
      </c>
      <c r="K603" s="2"/>
    </row>
    <row r="604" spans="1:11" x14ac:dyDescent="0.25">
      <c r="A604" t="s">
        <v>302</v>
      </c>
      <c r="B604" t="s">
        <v>153</v>
      </c>
      <c r="C604" t="s">
        <v>154</v>
      </c>
      <c r="D604" s="47">
        <v>4500</v>
      </c>
      <c r="E604" s="2"/>
      <c r="F604" s="37">
        <f t="shared" si="48"/>
        <v>5.8823529411764705E-2</v>
      </c>
      <c r="G604" s="2"/>
      <c r="H604" s="12">
        <f t="shared" si="49"/>
        <v>250</v>
      </c>
      <c r="I604" s="2"/>
      <c r="J604" s="12">
        <v>4250</v>
      </c>
      <c r="K604" s="2"/>
    </row>
    <row r="605" spans="1:11" x14ac:dyDescent="0.25">
      <c r="A605" t="s">
        <v>302</v>
      </c>
      <c r="B605" t="s">
        <v>40</v>
      </c>
      <c r="C605" t="s">
        <v>137</v>
      </c>
      <c r="D605" s="47">
        <v>2564</v>
      </c>
      <c r="E605" s="2"/>
      <c r="F605" s="37">
        <f t="shared" si="48"/>
        <v>0</v>
      </c>
      <c r="G605" s="2"/>
      <c r="H605" s="12">
        <f t="shared" si="49"/>
        <v>0</v>
      </c>
      <c r="I605" s="2"/>
      <c r="J605" s="12">
        <v>2564</v>
      </c>
      <c r="K605" s="2"/>
    </row>
    <row r="606" spans="1:11" x14ac:dyDescent="0.25">
      <c r="A606" t="s">
        <v>302</v>
      </c>
      <c r="B606" t="s">
        <v>85</v>
      </c>
      <c r="C606" t="s">
        <v>86</v>
      </c>
      <c r="D606" s="47">
        <v>6100</v>
      </c>
      <c r="E606" s="2"/>
      <c r="F606" s="37">
        <f t="shared" si="48"/>
        <v>0.2847514743049705</v>
      </c>
      <c r="G606" s="2"/>
      <c r="H606" s="12">
        <f t="shared" si="49"/>
        <v>1352</v>
      </c>
      <c r="I606" s="2"/>
      <c r="J606" s="12">
        <v>4748</v>
      </c>
      <c r="K606" s="2"/>
    </row>
    <row r="607" spans="1:11" x14ac:dyDescent="0.25">
      <c r="A607" t="s">
        <v>302</v>
      </c>
      <c r="B607" t="s">
        <v>157</v>
      </c>
      <c r="C607" t="s">
        <v>158</v>
      </c>
      <c r="D607" s="47">
        <v>2410</v>
      </c>
      <c r="E607" s="2"/>
      <c r="F607" s="37">
        <f t="shared" si="48"/>
        <v>0.37243735763097952</v>
      </c>
      <c r="G607" s="2"/>
      <c r="H607" s="12">
        <f t="shared" si="49"/>
        <v>654</v>
      </c>
      <c r="I607" s="2"/>
      <c r="J607" s="12">
        <v>1756</v>
      </c>
      <c r="K607" s="2"/>
    </row>
    <row r="608" spans="1:11" x14ac:dyDescent="0.25">
      <c r="A608" t="s">
        <v>302</v>
      </c>
      <c r="B608" t="s">
        <v>23</v>
      </c>
      <c r="C608" t="s">
        <v>273</v>
      </c>
      <c r="D608" s="47">
        <v>3000</v>
      </c>
      <c r="E608" s="2"/>
      <c r="F608" s="37">
        <f t="shared" si="48"/>
        <v>0</v>
      </c>
      <c r="G608" s="2"/>
      <c r="H608" s="12">
        <f t="shared" si="49"/>
        <v>0</v>
      </c>
      <c r="I608" s="2"/>
      <c r="J608" s="12">
        <v>3000</v>
      </c>
      <c r="K608" s="2"/>
    </row>
    <row r="609" spans="1:11" x14ac:dyDescent="0.25">
      <c r="A609" t="s">
        <v>302</v>
      </c>
      <c r="B609" t="s">
        <v>44</v>
      </c>
      <c r="C609" t="s">
        <v>311</v>
      </c>
      <c r="D609" s="47">
        <v>300</v>
      </c>
      <c r="E609" s="2"/>
      <c r="F609" s="37">
        <f t="shared" si="48"/>
        <v>0</v>
      </c>
      <c r="G609" s="2"/>
      <c r="H609" s="12">
        <f t="shared" si="49"/>
        <v>0</v>
      </c>
      <c r="I609" s="2"/>
      <c r="J609" s="12">
        <v>300</v>
      </c>
      <c r="K609" s="2"/>
    </row>
    <row r="610" spans="1:11" x14ac:dyDescent="0.25">
      <c r="A610" t="s">
        <v>302</v>
      </c>
      <c r="B610" t="s">
        <v>206</v>
      </c>
      <c r="C610" t="s">
        <v>207</v>
      </c>
      <c r="D610" s="47">
        <v>2100</v>
      </c>
      <c r="E610" s="2"/>
      <c r="F610" s="37">
        <f t="shared" si="48"/>
        <v>0.3125</v>
      </c>
      <c r="G610" s="2"/>
      <c r="H610" s="12">
        <f t="shared" si="49"/>
        <v>500</v>
      </c>
      <c r="I610" s="2"/>
      <c r="J610" s="12">
        <v>1600</v>
      </c>
      <c r="K610" s="2"/>
    </row>
    <row r="611" spans="1:11" x14ac:dyDescent="0.25">
      <c r="A611" t="s">
        <v>302</v>
      </c>
      <c r="B611" t="s">
        <v>54</v>
      </c>
      <c r="C611" t="s">
        <v>55</v>
      </c>
      <c r="D611" s="47">
        <v>1000</v>
      </c>
      <c r="E611" s="2"/>
      <c r="F611" s="37">
        <f t="shared" si="48"/>
        <v>0</v>
      </c>
      <c r="G611" s="2"/>
      <c r="H611" s="12">
        <f t="shared" si="49"/>
        <v>0</v>
      </c>
      <c r="I611" s="2"/>
      <c r="J611" s="12">
        <v>1000</v>
      </c>
      <c r="K611" s="2"/>
    </row>
    <row r="612" spans="1:11" x14ac:dyDescent="0.25">
      <c r="A612" t="s">
        <v>302</v>
      </c>
      <c r="B612" t="s">
        <v>46</v>
      </c>
      <c r="C612" t="s">
        <v>47</v>
      </c>
      <c r="D612" s="47">
        <v>2634</v>
      </c>
      <c r="E612" s="2"/>
      <c r="F612" s="37">
        <f t="shared" si="48"/>
        <v>0</v>
      </c>
      <c r="G612" s="2"/>
      <c r="H612" s="12">
        <f t="shared" si="49"/>
        <v>0</v>
      </c>
      <c r="I612" s="2"/>
      <c r="J612" s="12">
        <v>2634</v>
      </c>
      <c r="K612" s="2"/>
    </row>
    <row r="613" spans="1:11" x14ac:dyDescent="0.25">
      <c r="A613" t="s">
        <v>302</v>
      </c>
      <c r="B613" t="s">
        <v>67</v>
      </c>
      <c r="C613" t="s">
        <v>68</v>
      </c>
      <c r="D613" s="47">
        <v>10000</v>
      </c>
      <c r="E613" s="2"/>
      <c r="F613" s="37">
        <f t="shared" si="48"/>
        <v>0</v>
      </c>
      <c r="G613" s="2"/>
      <c r="H613" s="12">
        <f t="shared" si="49"/>
        <v>0</v>
      </c>
      <c r="I613" s="2"/>
      <c r="J613" s="12">
        <v>10000</v>
      </c>
      <c r="K613" s="2"/>
    </row>
    <row r="614" spans="1:11" x14ac:dyDescent="0.25">
      <c r="A614" t="s">
        <v>302</v>
      </c>
      <c r="B614" t="s">
        <v>312</v>
      </c>
      <c r="C614" t="s">
        <v>313</v>
      </c>
      <c r="D614" s="47">
        <v>3500</v>
      </c>
      <c r="E614" s="2"/>
      <c r="F614" s="37">
        <f t="shared" si="48"/>
        <v>0</v>
      </c>
      <c r="G614" s="2"/>
      <c r="H614" s="12">
        <f t="shared" si="49"/>
        <v>0</v>
      </c>
      <c r="I614" s="2"/>
      <c r="J614" s="12">
        <v>3500</v>
      </c>
      <c r="K614" s="2"/>
    </row>
    <row r="615" spans="1:11" x14ac:dyDescent="0.25">
      <c r="A615" t="s">
        <v>302</v>
      </c>
      <c r="B615" t="s">
        <v>119</v>
      </c>
      <c r="C615" t="s">
        <v>120</v>
      </c>
      <c r="D615" s="47">
        <v>120000</v>
      </c>
      <c r="E615" s="2"/>
      <c r="F615" s="37">
        <f t="shared" si="48"/>
        <v>0</v>
      </c>
      <c r="G615" s="2"/>
      <c r="H615" s="12">
        <f t="shared" si="49"/>
        <v>0</v>
      </c>
      <c r="I615" s="2"/>
      <c r="J615" s="12">
        <v>120000</v>
      </c>
      <c r="K615" s="2"/>
    </row>
    <row r="616" spans="1:11" x14ac:dyDescent="0.25">
      <c r="A616" t="s">
        <v>302</v>
      </c>
      <c r="B616" t="s">
        <v>121</v>
      </c>
      <c r="C616" t="s">
        <v>122</v>
      </c>
      <c r="D616" s="47">
        <f>20000*1.14</f>
        <v>22799.999999999996</v>
      </c>
      <c r="E616" s="2"/>
      <c r="F616" s="37">
        <f t="shared" si="48"/>
        <v>0.47096774193548363</v>
      </c>
      <c r="G616" s="2"/>
      <c r="H616" s="12">
        <f t="shared" si="49"/>
        <v>7299.9999999999964</v>
      </c>
      <c r="I616" s="2"/>
      <c r="J616" s="12">
        <v>15500</v>
      </c>
      <c r="K616" s="2"/>
    </row>
    <row r="617" spans="1:11" x14ac:dyDescent="0.25">
      <c r="A617" t="s">
        <v>302</v>
      </c>
      <c r="B617" t="s">
        <v>123</v>
      </c>
      <c r="C617" t="s">
        <v>124</v>
      </c>
      <c r="D617" s="47">
        <v>950</v>
      </c>
      <c r="E617" s="2"/>
      <c r="F617" s="37">
        <f t="shared" si="48"/>
        <v>0</v>
      </c>
      <c r="G617" s="2"/>
      <c r="H617" s="12">
        <f t="shared" si="49"/>
        <v>0</v>
      </c>
      <c r="I617" s="2"/>
      <c r="J617" s="12">
        <v>950</v>
      </c>
      <c r="K617" s="2"/>
    </row>
    <row r="618" spans="1:11" x14ac:dyDescent="0.25">
      <c r="A618" t="s">
        <v>302</v>
      </c>
      <c r="B618" t="s">
        <v>127</v>
      </c>
      <c r="C618" t="s">
        <v>128</v>
      </c>
      <c r="D618" s="47">
        <v>9500</v>
      </c>
      <c r="E618" s="2"/>
      <c r="F618" s="37">
        <f t="shared" ref="F618:F638" si="50">H618/J618</f>
        <v>0</v>
      </c>
      <c r="G618" s="2"/>
      <c r="H618" s="12">
        <f t="shared" ref="H618:H638" si="51">D618-J618</f>
        <v>0</v>
      </c>
      <c r="I618" s="2"/>
      <c r="J618" s="12">
        <v>9500</v>
      </c>
      <c r="K618" s="2"/>
    </row>
    <row r="619" spans="1:11" ht="105" x14ac:dyDescent="0.25">
      <c r="A619" s="1" t="s">
        <v>0</v>
      </c>
      <c r="B619" s="1" t="s">
        <v>1</v>
      </c>
      <c r="C619" s="1" t="s">
        <v>2</v>
      </c>
      <c r="D619" s="5" t="s">
        <v>337</v>
      </c>
      <c r="E619" s="1"/>
      <c r="F619" s="5" t="s">
        <v>409</v>
      </c>
      <c r="G619" s="1"/>
      <c r="H619" s="5" t="s">
        <v>410</v>
      </c>
      <c r="I619" s="1"/>
      <c r="J619" s="4" t="s">
        <v>335</v>
      </c>
      <c r="K619" s="1"/>
    </row>
    <row r="620" spans="1:11" x14ac:dyDescent="0.25">
      <c r="A620" t="s">
        <v>302</v>
      </c>
      <c r="B620" t="s">
        <v>115</v>
      </c>
      <c r="C620" t="s">
        <v>116</v>
      </c>
      <c r="D620" s="47">
        <v>19080</v>
      </c>
      <c r="E620" s="2"/>
      <c r="F620" s="37">
        <f t="shared" si="50"/>
        <v>-0.48432432432432432</v>
      </c>
      <c r="G620" s="2"/>
      <c r="H620" s="12">
        <f t="shared" si="51"/>
        <v>-17920</v>
      </c>
      <c r="I620" s="2"/>
      <c r="J620" s="12">
        <v>37000</v>
      </c>
      <c r="K620" s="2"/>
    </row>
    <row r="621" spans="1:11" x14ac:dyDescent="0.25">
      <c r="A621" t="s">
        <v>302</v>
      </c>
      <c r="B621" t="s">
        <v>214</v>
      </c>
      <c r="C621" t="s">
        <v>215</v>
      </c>
      <c r="D621" s="47">
        <v>7500</v>
      </c>
      <c r="E621" s="2"/>
      <c r="F621" s="37">
        <f t="shared" si="50"/>
        <v>0</v>
      </c>
      <c r="G621" s="2"/>
      <c r="H621" s="12">
        <f t="shared" si="51"/>
        <v>0</v>
      </c>
      <c r="I621" s="2"/>
      <c r="J621" s="12">
        <v>7500</v>
      </c>
      <c r="K621" s="2"/>
    </row>
    <row r="622" spans="1:11" x14ac:dyDescent="0.25">
      <c r="A622" t="s">
        <v>302</v>
      </c>
      <c r="B622" t="s">
        <v>314</v>
      </c>
      <c r="C622" t="s">
        <v>315</v>
      </c>
      <c r="D622" s="47">
        <v>72000</v>
      </c>
      <c r="E622" s="2"/>
      <c r="F622" s="37">
        <f t="shared" si="50"/>
        <v>0</v>
      </c>
      <c r="G622" s="2"/>
      <c r="H622" s="12">
        <f t="shared" si="51"/>
        <v>0</v>
      </c>
      <c r="I622" s="2"/>
      <c r="J622" s="12">
        <v>72000</v>
      </c>
      <c r="K622" s="2"/>
    </row>
    <row r="623" spans="1:11" x14ac:dyDescent="0.25">
      <c r="A623" t="s">
        <v>302</v>
      </c>
      <c r="B623" t="s">
        <v>316</v>
      </c>
      <c r="C623" t="s">
        <v>317</v>
      </c>
      <c r="D623" s="47">
        <v>14000</v>
      </c>
      <c r="E623" s="2"/>
      <c r="F623" s="37">
        <f t="shared" si="50"/>
        <v>0.4</v>
      </c>
      <c r="G623" s="2"/>
      <c r="H623" s="12">
        <f t="shared" si="51"/>
        <v>4000</v>
      </c>
      <c r="I623" s="2"/>
      <c r="J623" s="12">
        <v>10000</v>
      </c>
      <c r="K623" s="2"/>
    </row>
    <row r="624" spans="1:11" x14ac:dyDescent="0.25">
      <c r="A624" t="s">
        <v>302</v>
      </c>
      <c r="B624" t="s">
        <v>318</v>
      </c>
      <c r="C624" s="39" t="s">
        <v>319</v>
      </c>
      <c r="D624" s="47">
        <v>188000</v>
      </c>
      <c r="E624" s="2"/>
      <c r="F624" s="37">
        <f t="shared" si="50"/>
        <v>0.504</v>
      </c>
      <c r="G624" s="2"/>
      <c r="H624" s="12">
        <f t="shared" si="51"/>
        <v>63000</v>
      </c>
      <c r="I624" s="2"/>
      <c r="J624" s="12">
        <v>125000</v>
      </c>
      <c r="K624" s="2"/>
    </row>
    <row r="625" spans="1:12" x14ac:dyDescent="0.25">
      <c r="A625" t="s">
        <v>302</v>
      </c>
      <c r="B625" t="s">
        <v>233</v>
      </c>
      <c r="C625" t="s">
        <v>234</v>
      </c>
      <c r="D625" s="47">
        <v>2800</v>
      </c>
      <c r="E625" s="2"/>
      <c r="F625" s="37">
        <f t="shared" si="50"/>
        <v>0.35265700483091789</v>
      </c>
      <c r="G625" s="2"/>
      <c r="H625" s="12">
        <f t="shared" si="51"/>
        <v>730</v>
      </c>
      <c r="I625" s="2"/>
      <c r="J625" s="12">
        <v>2070</v>
      </c>
      <c r="K625" s="2"/>
    </row>
    <row r="626" spans="1:12" x14ac:dyDescent="0.25">
      <c r="A626" t="s">
        <v>302</v>
      </c>
      <c r="B626" t="s">
        <v>320</v>
      </c>
      <c r="C626" t="s">
        <v>321</v>
      </c>
      <c r="D626" s="47">
        <v>10000</v>
      </c>
      <c r="E626" s="2"/>
      <c r="F626" s="37">
        <f t="shared" si="50"/>
        <v>0</v>
      </c>
      <c r="G626" s="2"/>
      <c r="H626" s="12">
        <f t="shared" si="51"/>
        <v>0</v>
      </c>
      <c r="I626" s="2"/>
      <c r="J626" s="12">
        <v>10000</v>
      </c>
      <c r="K626" s="2"/>
    </row>
    <row r="627" spans="1:12" x14ac:dyDescent="0.25">
      <c r="A627" t="s">
        <v>302</v>
      </c>
      <c r="B627" t="s">
        <v>92</v>
      </c>
      <c r="C627" t="s">
        <v>93</v>
      </c>
      <c r="D627" s="48">
        <f>ROUNDUP((1224.75),0)</f>
        <v>1225</v>
      </c>
      <c r="E627" s="2"/>
      <c r="F627" s="37">
        <f t="shared" si="50"/>
        <v>0.15023474178403756</v>
      </c>
      <c r="G627" s="2"/>
      <c r="H627" s="12">
        <f t="shared" si="51"/>
        <v>160</v>
      </c>
      <c r="I627" s="2"/>
      <c r="J627" s="12">
        <v>1065</v>
      </c>
      <c r="K627" s="2"/>
    </row>
    <row r="628" spans="1:12" x14ac:dyDescent="0.25">
      <c r="A628" t="s">
        <v>302</v>
      </c>
      <c r="B628" t="s">
        <v>94</v>
      </c>
      <c r="C628" t="s">
        <v>95</v>
      </c>
      <c r="D628" s="48">
        <v>1035</v>
      </c>
      <c r="E628" s="2"/>
      <c r="F628" s="37">
        <f t="shared" si="50"/>
        <v>0.15</v>
      </c>
      <c r="G628" s="2"/>
      <c r="H628" s="12">
        <f t="shared" si="51"/>
        <v>135</v>
      </c>
      <c r="I628" s="2"/>
      <c r="J628" s="12">
        <v>900</v>
      </c>
      <c r="K628" s="2"/>
    </row>
    <row r="629" spans="1:12" x14ac:dyDescent="0.25">
      <c r="A629" t="s">
        <v>302</v>
      </c>
      <c r="B629" t="s">
        <v>98</v>
      </c>
      <c r="C629" t="s">
        <v>99</v>
      </c>
      <c r="D629" s="48">
        <f>ROUNDUP((11907.1),0)</f>
        <v>11908</v>
      </c>
      <c r="E629" s="2"/>
      <c r="F629" s="37">
        <f t="shared" si="50"/>
        <v>0.15008692292833686</v>
      </c>
      <c r="G629" s="2"/>
      <c r="H629" s="12">
        <f t="shared" si="51"/>
        <v>1554</v>
      </c>
      <c r="I629" s="2"/>
      <c r="J629" s="12">
        <v>10354</v>
      </c>
      <c r="K629" s="2"/>
    </row>
    <row r="630" spans="1:12" x14ac:dyDescent="0.25">
      <c r="A630" t="s">
        <v>302</v>
      </c>
      <c r="B630" t="s">
        <v>322</v>
      </c>
      <c r="C630" t="s">
        <v>323</v>
      </c>
      <c r="D630" s="47">
        <v>160200</v>
      </c>
      <c r="E630" s="2"/>
      <c r="F630" s="37">
        <f t="shared" si="50"/>
        <v>0</v>
      </c>
      <c r="G630" s="2"/>
      <c r="H630" s="12">
        <f t="shared" si="51"/>
        <v>0</v>
      </c>
      <c r="I630" s="2"/>
      <c r="J630" s="12">
        <v>160200</v>
      </c>
      <c r="K630" s="2"/>
    </row>
    <row r="631" spans="1:12" x14ac:dyDescent="0.25">
      <c r="A631" t="s">
        <v>302</v>
      </c>
      <c r="B631" t="s">
        <v>324</v>
      </c>
      <c r="C631" t="s">
        <v>325</v>
      </c>
      <c r="D631" s="48">
        <v>2200</v>
      </c>
      <c r="E631" s="2"/>
      <c r="F631" s="37">
        <f t="shared" si="50"/>
        <v>0</v>
      </c>
      <c r="G631" s="2"/>
      <c r="H631" s="12">
        <f t="shared" si="51"/>
        <v>0</v>
      </c>
      <c r="I631" s="2"/>
      <c r="J631" s="12">
        <v>2200</v>
      </c>
      <c r="K631" s="2"/>
    </row>
    <row r="632" spans="1:12" x14ac:dyDescent="0.25">
      <c r="A632" t="s">
        <v>302</v>
      </c>
      <c r="B632" t="s">
        <v>326</v>
      </c>
      <c r="C632" t="s">
        <v>327</v>
      </c>
      <c r="D632" s="47">
        <v>0</v>
      </c>
      <c r="E632" s="2"/>
      <c r="F632" s="37">
        <f t="shared" si="50"/>
        <v>-1</v>
      </c>
      <c r="G632" s="2"/>
      <c r="H632" s="12">
        <f t="shared" si="51"/>
        <v>-37313</v>
      </c>
      <c r="I632" s="2"/>
      <c r="J632" s="12">
        <v>37313</v>
      </c>
      <c r="K632" s="2"/>
      <c r="L632" t="s">
        <v>393</v>
      </c>
    </row>
    <row r="633" spans="1:12" x14ac:dyDescent="0.25">
      <c r="A633" t="s">
        <v>302</v>
      </c>
      <c r="B633" t="s">
        <v>328</v>
      </c>
      <c r="C633" t="s">
        <v>329</v>
      </c>
      <c r="D633" s="47">
        <v>17500</v>
      </c>
      <c r="E633" s="2"/>
      <c r="F633" s="37">
        <f t="shared" si="50"/>
        <v>0</v>
      </c>
      <c r="G633" s="2"/>
      <c r="H633" s="12">
        <f t="shared" si="51"/>
        <v>0</v>
      </c>
      <c r="I633" s="2"/>
      <c r="J633" s="12">
        <v>17500</v>
      </c>
      <c r="K633" s="2"/>
    </row>
    <row r="634" spans="1:12" x14ac:dyDescent="0.25">
      <c r="A634" t="s">
        <v>302</v>
      </c>
      <c r="B634" t="s">
        <v>283</v>
      </c>
      <c r="C634" t="s">
        <v>330</v>
      </c>
      <c r="D634" s="47">
        <v>25000</v>
      </c>
      <c r="E634" s="2"/>
      <c r="F634" s="37">
        <f t="shared" si="50"/>
        <v>0</v>
      </c>
      <c r="G634" s="2"/>
      <c r="H634" s="12">
        <f t="shared" si="51"/>
        <v>0</v>
      </c>
      <c r="I634" s="2"/>
      <c r="J634" s="12">
        <v>25000</v>
      </c>
      <c r="K634" s="2"/>
    </row>
    <row r="635" spans="1:12" x14ac:dyDescent="0.25">
      <c r="A635" t="s">
        <v>302</v>
      </c>
      <c r="B635" t="s">
        <v>286</v>
      </c>
      <c r="C635" t="s">
        <v>287</v>
      </c>
      <c r="D635" s="47">
        <f>ROUNDUP((17025.45),0)</f>
        <v>17026</v>
      </c>
      <c r="E635" s="2"/>
      <c r="F635" s="37">
        <f t="shared" si="50"/>
        <v>0</v>
      </c>
      <c r="G635" s="2"/>
      <c r="H635" s="12">
        <f t="shared" si="51"/>
        <v>0</v>
      </c>
      <c r="I635" s="2"/>
      <c r="J635" s="12">
        <v>17026</v>
      </c>
      <c r="K635" s="2"/>
    </row>
    <row r="636" spans="1:12" x14ac:dyDescent="0.25">
      <c r="A636" t="s">
        <v>302</v>
      </c>
      <c r="B636" t="s">
        <v>331</v>
      </c>
      <c r="C636" t="s">
        <v>332</v>
      </c>
      <c r="D636" s="47">
        <f>ROUNDUP((962.1),0)</f>
        <v>963</v>
      </c>
      <c r="E636" s="2"/>
      <c r="F636" s="37">
        <f t="shared" si="50"/>
        <v>-0.2660060975609756</v>
      </c>
      <c r="G636" s="2"/>
      <c r="H636" s="12">
        <f t="shared" si="51"/>
        <v>-349</v>
      </c>
      <c r="I636" s="2"/>
      <c r="J636" s="12">
        <v>1312</v>
      </c>
      <c r="K636" s="2"/>
    </row>
    <row r="637" spans="1:12" x14ac:dyDescent="0.25">
      <c r="A637" t="s">
        <v>302</v>
      </c>
      <c r="B637" t="s">
        <v>333</v>
      </c>
      <c r="C637" t="s">
        <v>334</v>
      </c>
      <c r="D637" s="47">
        <f>ROUNDUP((2188.43),0)</f>
        <v>2189</v>
      </c>
      <c r="E637" s="2"/>
      <c r="F637" s="37">
        <f t="shared" si="50"/>
        <v>-0.14625585023400936</v>
      </c>
      <c r="G637" s="2"/>
      <c r="H637" s="12">
        <f t="shared" si="51"/>
        <v>-375</v>
      </c>
      <c r="I637" s="2"/>
      <c r="J637" s="12">
        <v>2564</v>
      </c>
      <c r="K637" s="2"/>
    </row>
    <row r="638" spans="1:12" x14ac:dyDescent="0.25">
      <c r="A638" t="s">
        <v>302</v>
      </c>
      <c r="B638" t="s">
        <v>294</v>
      </c>
      <c r="C638" t="s">
        <v>295</v>
      </c>
      <c r="D638" s="47">
        <f>ROUNDUP((5306.55),0)</f>
        <v>5307</v>
      </c>
      <c r="E638" s="2"/>
      <c r="F638" s="37">
        <f t="shared" si="50"/>
        <v>0</v>
      </c>
      <c r="G638" s="2"/>
      <c r="H638" s="12">
        <f t="shared" si="51"/>
        <v>0</v>
      </c>
      <c r="I638" s="2"/>
      <c r="J638" s="12">
        <v>5307</v>
      </c>
      <c r="K638" s="2"/>
    </row>
    <row r="639" spans="1:12" x14ac:dyDescent="0.25">
      <c r="D639" s="10"/>
      <c r="E639" s="2"/>
      <c r="F639" s="10"/>
      <c r="G639" s="2"/>
      <c r="H639" s="10"/>
      <c r="I639" s="2"/>
      <c r="J639" s="11"/>
      <c r="K639" s="2"/>
    </row>
    <row r="640" spans="1:12" x14ac:dyDescent="0.25">
      <c r="A640" t="s">
        <v>5</v>
      </c>
      <c r="B640" t="s">
        <v>5</v>
      </c>
      <c r="C640" s="1" t="s">
        <v>392</v>
      </c>
      <c r="D640" s="57">
        <f>SUM(D586:D638)</f>
        <v>1364490</v>
      </c>
      <c r="E640" s="58"/>
      <c r="F640" s="59">
        <f>H640/J640</f>
        <v>3.0713542187380542E-3</v>
      </c>
      <c r="G640" s="58"/>
      <c r="H640" s="57">
        <f>SUM(H586:H638)</f>
        <v>4178</v>
      </c>
      <c r="I640" s="58"/>
      <c r="J640" s="57">
        <f>SUM(J586:J638)</f>
        <v>1360312</v>
      </c>
      <c r="K640" s="2"/>
    </row>
  </sheetData>
  <pageMargins left="0.7" right="0.7" top="0.75" bottom="0.75" header="0.3" footer="0.3"/>
  <pageSetup scale="77" fitToHeight="0" orientation="landscape" r:id="rId1"/>
  <rowBreaks count="5" manualBreakCount="5">
    <brk id="35" min="3" max="10" man="1"/>
    <brk id="72" min="3" max="10" man="1"/>
    <brk id="109" min="3" max="10" man="1"/>
    <brk id="215" min="3" max="10" man="1"/>
    <brk id="581" min="3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L14" sqref="L14"/>
    </sheetView>
  </sheetViews>
  <sheetFormatPr defaultRowHeight="15" x14ac:dyDescent="0.25"/>
  <cols>
    <col min="1" max="1" width="9" bestFit="1" customWidth="1"/>
    <col min="3" max="3" width="40.140625" bestFit="1" customWidth="1"/>
    <col min="4" max="4" width="18.85546875" customWidth="1"/>
    <col min="5" max="5" width="3.42578125" customWidth="1"/>
    <col min="6" max="6" width="15.5703125" customWidth="1"/>
    <col min="7" max="7" width="3.42578125" customWidth="1"/>
    <col min="8" max="8" width="18.42578125" customWidth="1"/>
    <col min="9" max="9" width="3.42578125" customWidth="1"/>
    <col min="10" max="10" width="15.85546875" customWidth="1"/>
  </cols>
  <sheetData>
    <row r="1" spans="1:11" ht="120" x14ac:dyDescent="0.25">
      <c r="A1" s="1" t="s">
        <v>0</v>
      </c>
      <c r="B1" s="1" t="s">
        <v>1</v>
      </c>
      <c r="C1" s="1" t="s">
        <v>2</v>
      </c>
      <c r="D1" s="5" t="s">
        <v>337</v>
      </c>
      <c r="E1" s="1"/>
      <c r="F1" s="5" t="s">
        <v>409</v>
      </c>
      <c r="G1" s="1"/>
      <c r="H1" s="5" t="s">
        <v>410</v>
      </c>
      <c r="I1" s="1"/>
      <c r="J1" s="4" t="s">
        <v>335</v>
      </c>
      <c r="K1" s="1"/>
    </row>
    <row r="2" spans="1:11" x14ac:dyDescent="0.25">
      <c r="A2" t="s">
        <v>190</v>
      </c>
      <c r="B2" t="s">
        <v>30</v>
      </c>
      <c r="C2" t="s">
        <v>31</v>
      </c>
      <c r="D2" s="16">
        <f>ROUNDUP((199285.86),0)</f>
        <v>199286</v>
      </c>
      <c r="E2" s="2"/>
      <c r="F2" s="37">
        <f t="shared" ref="F2:F18" si="0">H2/J2</f>
        <v>1.9454377106960706E-2</v>
      </c>
      <c r="G2" s="2"/>
      <c r="H2" s="12">
        <f t="shared" ref="H2:H18" si="1">D2-J2</f>
        <v>3803</v>
      </c>
      <c r="I2" s="2"/>
      <c r="J2" s="12">
        <v>195483</v>
      </c>
    </row>
    <row r="3" spans="1:11" x14ac:dyDescent="0.25">
      <c r="A3" t="s">
        <v>190</v>
      </c>
      <c r="B3" t="s">
        <v>141</v>
      </c>
      <c r="C3" t="s">
        <v>142</v>
      </c>
      <c r="D3" s="16">
        <v>3500</v>
      </c>
      <c r="E3" s="2"/>
      <c r="F3" s="37">
        <f t="shared" si="0"/>
        <v>0</v>
      </c>
      <c r="G3" s="2"/>
      <c r="H3" s="12">
        <f t="shared" si="1"/>
        <v>0</v>
      </c>
      <c r="I3" s="2"/>
      <c r="J3" s="12">
        <v>3500</v>
      </c>
    </row>
    <row r="4" spans="1:11" x14ac:dyDescent="0.25">
      <c r="A4" t="s">
        <v>190</v>
      </c>
      <c r="B4" t="s">
        <v>59</v>
      </c>
      <c r="C4" t="s">
        <v>60</v>
      </c>
      <c r="D4" s="16">
        <v>21630</v>
      </c>
      <c r="E4" s="2"/>
      <c r="F4" s="37">
        <f t="shared" si="0"/>
        <v>0</v>
      </c>
      <c r="G4" s="2"/>
      <c r="H4" s="12">
        <f t="shared" si="1"/>
        <v>0</v>
      </c>
      <c r="I4" s="2"/>
      <c r="J4" s="12">
        <v>21630</v>
      </c>
    </row>
    <row r="5" spans="1:11" x14ac:dyDescent="0.25">
      <c r="A5" t="s">
        <v>190</v>
      </c>
      <c r="B5" t="s">
        <v>61</v>
      </c>
      <c r="C5" t="s">
        <v>62</v>
      </c>
      <c r="D5" s="16">
        <v>1350</v>
      </c>
      <c r="E5" s="2"/>
      <c r="F5" s="37">
        <f t="shared" si="0"/>
        <v>0</v>
      </c>
      <c r="G5" s="2"/>
      <c r="H5" s="12">
        <f t="shared" si="1"/>
        <v>0</v>
      </c>
      <c r="I5" s="2"/>
      <c r="J5" s="12">
        <v>1350</v>
      </c>
    </row>
    <row r="6" spans="1:11" x14ac:dyDescent="0.25">
      <c r="A6" t="s">
        <v>190</v>
      </c>
      <c r="B6" t="s">
        <v>147</v>
      </c>
      <c r="C6" t="s">
        <v>148</v>
      </c>
      <c r="D6" s="16">
        <v>62325</v>
      </c>
      <c r="E6" s="2"/>
      <c r="F6" s="37">
        <f t="shared" si="0"/>
        <v>0.21019417475728155</v>
      </c>
      <c r="G6" s="2"/>
      <c r="H6" s="12">
        <f t="shared" si="1"/>
        <v>10825</v>
      </c>
      <c r="I6" s="2"/>
      <c r="J6" s="12">
        <v>51500</v>
      </c>
    </row>
    <row r="7" spans="1:11" x14ac:dyDescent="0.25">
      <c r="A7" t="s">
        <v>190</v>
      </c>
      <c r="B7" t="s">
        <v>34</v>
      </c>
      <c r="C7" t="s">
        <v>35</v>
      </c>
      <c r="D7" s="16">
        <f>ROUNDUP((359.42),0)</f>
        <v>360</v>
      </c>
      <c r="E7" s="2"/>
      <c r="F7" s="37">
        <f t="shared" si="0"/>
        <v>0.20805369127516779</v>
      </c>
      <c r="G7" s="2"/>
      <c r="H7" s="12">
        <f t="shared" si="1"/>
        <v>62</v>
      </c>
      <c r="I7" s="2"/>
      <c r="J7" s="12">
        <v>298</v>
      </c>
    </row>
    <row r="8" spans="1:11" x14ac:dyDescent="0.25">
      <c r="A8" t="s">
        <v>190</v>
      </c>
      <c r="B8" t="s">
        <v>9</v>
      </c>
      <c r="C8" t="s">
        <v>10</v>
      </c>
      <c r="D8" s="16">
        <f>ROUNDUP((1317.37),0)</f>
        <v>1318</v>
      </c>
      <c r="E8" s="2"/>
      <c r="F8" s="37">
        <f t="shared" si="0"/>
        <v>0.71391417425227566</v>
      </c>
      <c r="G8" s="2"/>
      <c r="H8" s="12">
        <f t="shared" si="1"/>
        <v>549</v>
      </c>
      <c r="I8" s="2"/>
      <c r="J8" s="12">
        <v>769</v>
      </c>
    </row>
    <row r="9" spans="1:11" x14ac:dyDescent="0.25">
      <c r="A9" t="s">
        <v>190</v>
      </c>
      <c r="B9" t="s">
        <v>36</v>
      </c>
      <c r="C9" t="s">
        <v>37</v>
      </c>
      <c r="D9" s="16">
        <f>ROUNDUP((33274.99),0)</f>
        <v>33275</v>
      </c>
      <c r="E9" s="2"/>
      <c r="F9" s="37">
        <f t="shared" si="0"/>
        <v>1.2167300380228136E-2</v>
      </c>
      <c r="G9" s="2"/>
      <c r="H9" s="12">
        <f t="shared" si="1"/>
        <v>400</v>
      </c>
      <c r="I9" s="2"/>
      <c r="J9" s="12">
        <v>32875</v>
      </c>
    </row>
    <row r="10" spans="1:11" x14ac:dyDescent="0.25">
      <c r="A10" t="s">
        <v>190</v>
      </c>
      <c r="B10" t="s">
        <v>38</v>
      </c>
      <c r="C10" t="s">
        <v>39</v>
      </c>
      <c r="D10" s="16">
        <f>ROUNDUP((29344.36),0)</f>
        <v>29345</v>
      </c>
      <c r="E10" s="2"/>
      <c r="F10" s="37">
        <f t="shared" si="0"/>
        <v>-0.26804020852560423</v>
      </c>
      <c r="G10" s="2"/>
      <c r="H10" s="12">
        <f t="shared" si="1"/>
        <v>-10746</v>
      </c>
      <c r="I10" s="2"/>
      <c r="J10" s="12">
        <v>40091</v>
      </c>
    </row>
    <row r="11" spans="1:11" x14ac:dyDescent="0.25">
      <c r="A11" t="s">
        <v>190</v>
      </c>
      <c r="B11" t="s">
        <v>11</v>
      </c>
      <c r="C11" t="s">
        <v>12</v>
      </c>
      <c r="D11" s="16">
        <f>ROUNDUP((22038.95),0)</f>
        <v>22039</v>
      </c>
      <c r="E11" s="2"/>
      <c r="F11" s="37">
        <f t="shared" si="0"/>
        <v>6.520057999033349E-2</v>
      </c>
      <c r="G11" s="2"/>
      <c r="H11" s="12">
        <f t="shared" si="1"/>
        <v>1349</v>
      </c>
      <c r="I11" s="2"/>
      <c r="J11" s="12">
        <v>20690</v>
      </c>
    </row>
    <row r="12" spans="1:11" x14ac:dyDescent="0.25">
      <c r="A12" t="s">
        <v>190</v>
      </c>
      <c r="B12" t="s">
        <v>13</v>
      </c>
      <c r="C12" t="s">
        <v>14</v>
      </c>
      <c r="D12" s="16">
        <v>1000</v>
      </c>
      <c r="E12" s="2"/>
      <c r="F12" s="37">
        <f t="shared" si="0"/>
        <v>0</v>
      </c>
      <c r="G12" s="2"/>
      <c r="H12" s="12">
        <f t="shared" si="1"/>
        <v>0</v>
      </c>
      <c r="I12" s="2"/>
      <c r="J12" s="12">
        <v>1000</v>
      </c>
    </row>
    <row r="13" spans="1:11" x14ac:dyDescent="0.25">
      <c r="A13" t="s">
        <v>190</v>
      </c>
      <c r="B13" t="s">
        <v>21</v>
      </c>
      <c r="C13" t="s">
        <v>22</v>
      </c>
      <c r="D13" s="16">
        <v>120</v>
      </c>
      <c r="E13" s="2"/>
      <c r="F13" s="37">
        <f t="shared" si="0"/>
        <v>0</v>
      </c>
      <c r="G13" s="2"/>
      <c r="H13" s="12">
        <f t="shared" si="1"/>
        <v>0</v>
      </c>
      <c r="I13" s="2"/>
      <c r="J13" s="12">
        <v>120</v>
      </c>
    </row>
    <row r="14" spans="1:11" x14ac:dyDescent="0.25">
      <c r="A14" t="s">
        <v>190</v>
      </c>
      <c r="B14" t="s">
        <v>151</v>
      </c>
      <c r="C14" t="s">
        <v>152</v>
      </c>
      <c r="D14" s="16">
        <v>300</v>
      </c>
      <c r="E14" s="2"/>
      <c r="F14" s="37">
        <f t="shared" si="0"/>
        <v>0</v>
      </c>
      <c r="G14" s="2"/>
      <c r="H14" s="12">
        <f t="shared" si="1"/>
        <v>0</v>
      </c>
      <c r="I14" s="2"/>
      <c r="J14" s="12">
        <v>300</v>
      </c>
    </row>
    <row r="15" spans="1:11" x14ac:dyDescent="0.25">
      <c r="A15" t="s">
        <v>190</v>
      </c>
      <c r="B15" t="s">
        <v>153</v>
      </c>
      <c r="C15" t="s">
        <v>154</v>
      </c>
      <c r="D15" s="16">
        <v>2250</v>
      </c>
      <c r="E15" s="2"/>
      <c r="F15" s="37">
        <f t="shared" si="0"/>
        <v>0</v>
      </c>
      <c r="G15" s="2"/>
      <c r="H15" s="12">
        <f t="shared" si="1"/>
        <v>0</v>
      </c>
      <c r="I15" s="2"/>
      <c r="J15" s="12">
        <v>2250</v>
      </c>
    </row>
    <row r="16" spans="1:11" x14ac:dyDescent="0.25">
      <c r="A16" t="s">
        <v>190</v>
      </c>
      <c r="B16" t="s">
        <v>23</v>
      </c>
      <c r="C16" t="s">
        <v>24</v>
      </c>
      <c r="D16" s="16">
        <v>1450</v>
      </c>
      <c r="E16" s="2"/>
      <c r="F16" s="37">
        <f t="shared" si="0"/>
        <v>0</v>
      </c>
      <c r="G16" s="2"/>
      <c r="H16" s="12">
        <f t="shared" si="1"/>
        <v>0</v>
      </c>
      <c r="I16" s="2"/>
      <c r="J16" s="12">
        <v>1450</v>
      </c>
    </row>
    <row r="17" spans="1:10" x14ac:dyDescent="0.25">
      <c r="A17" t="s">
        <v>190</v>
      </c>
      <c r="B17" t="s">
        <v>123</v>
      </c>
      <c r="C17" t="s">
        <v>124</v>
      </c>
      <c r="D17" s="16">
        <v>1900</v>
      </c>
      <c r="E17" s="2"/>
      <c r="F17" s="37">
        <f t="shared" si="0"/>
        <v>0</v>
      </c>
      <c r="G17" s="2"/>
      <c r="H17" s="12">
        <f t="shared" si="1"/>
        <v>0</v>
      </c>
      <c r="I17" s="2"/>
      <c r="J17" s="12">
        <v>1900</v>
      </c>
    </row>
    <row r="18" spans="1:10" x14ac:dyDescent="0.25">
      <c r="A18" t="s">
        <v>190</v>
      </c>
      <c r="B18" t="s">
        <v>69</v>
      </c>
      <c r="C18" t="s">
        <v>70</v>
      </c>
      <c r="D18" s="16">
        <v>1125</v>
      </c>
      <c r="E18" s="2"/>
      <c r="F18" s="37">
        <f t="shared" si="0"/>
        <v>0</v>
      </c>
      <c r="G18" s="2"/>
      <c r="H18" s="12">
        <f t="shared" si="1"/>
        <v>0</v>
      </c>
      <c r="I18" s="2"/>
      <c r="J18" s="12">
        <v>1125</v>
      </c>
    </row>
    <row r="19" spans="1:10" x14ac:dyDescent="0.25">
      <c r="D19" s="2"/>
      <c r="E19" s="2"/>
      <c r="F19" s="2"/>
      <c r="G19" s="2"/>
      <c r="H19" s="2"/>
      <c r="I19" s="2"/>
      <c r="J19" s="3"/>
    </row>
    <row r="20" spans="1:10" x14ac:dyDescent="0.25">
      <c r="A20" t="s">
        <v>5</v>
      </c>
      <c r="B20" t="s">
        <v>5</v>
      </c>
      <c r="C20" s="1" t="s">
        <v>373</v>
      </c>
      <c r="D20" s="8">
        <f>SUM(D2:D18)</f>
        <v>382573</v>
      </c>
      <c r="E20" s="2"/>
      <c r="F20" s="15">
        <f>H20/J20</f>
        <v>1.6586462449280023E-2</v>
      </c>
      <c r="G20" s="2"/>
      <c r="H20" s="8">
        <f>SUM(H2:H18)</f>
        <v>6242</v>
      </c>
      <c r="I20" s="2"/>
      <c r="J20" s="8">
        <f>SUM(J2:J18)</f>
        <v>376331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L14" sqref="L14"/>
    </sheetView>
  </sheetViews>
  <sheetFormatPr defaultRowHeight="15" x14ac:dyDescent="0.25"/>
  <cols>
    <col min="1" max="1" width="9" bestFit="1" customWidth="1"/>
    <col min="2" max="2" width="6" bestFit="1" customWidth="1"/>
    <col min="3" max="3" width="35" bestFit="1" customWidth="1"/>
    <col min="4" max="4" width="16.28515625" customWidth="1"/>
    <col min="5" max="5" width="2.28515625" customWidth="1"/>
    <col min="6" max="6" width="15.7109375" customWidth="1"/>
    <col min="7" max="7" width="2.28515625" customWidth="1"/>
    <col min="8" max="8" width="15.140625" customWidth="1"/>
    <col min="9" max="9" width="2.28515625" customWidth="1"/>
    <col min="10" max="10" width="14.85546875" customWidth="1"/>
    <col min="11" max="11" width="2.28515625" customWidth="1"/>
    <col min="12" max="12" width="51.42578125" bestFit="1" customWidth="1"/>
  </cols>
  <sheetData>
    <row r="1" spans="1:12" ht="128.25" customHeight="1" x14ac:dyDescent="0.25">
      <c r="A1" s="1" t="s">
        <v>0</v>
      </c>
      <c r="B1" s="1" t="s">
        <v>1</v>
      </c>
      <c r="C1" s="1" t="s">
        <v>2</v>
      </c>
      <c r="D1" s="5" t="s">
        <v>337</v>
      </c>
      <c r="E1" s="1"/>
      <c r="F1" s="5" t="s">
        <v>409</v>
      </c>
      <c r="G1" s="1"/>
      <c r="H1" s="5" t="s">
        <v>410</v>
      </c>
      <c r="I1" s="1"/>
      <c r="J1" s="4" t="s">
        <v>335</v>
      </c>
      <c r="K1" s="1"/>
      <c r="L1" s="1" t="s">
        <v>438</v>
      </c>
    </row>
    <row r="2" spans="1:12" x14ac:dyDescent="0.25">
      <c r="A2" t="s">
        <v>187</v>
      </c>
      <c r="B2" t="s">
        <v>30</v>
      </c>
      <c r="C2" t="s">
        <v>31</v>
      </c>
      <c r="D2" s="16">
        <f>ROUNDUP((56778.58),0)</f>
        <v>56779</v>
      </c>
      <c r="E2" s="2"/>
      <c r="F2" s="37">
        <f t="shared" ref="F2:F17" si="0">H2/J2</f>
        <v>3.0004535147392292E-2</v>
      </c>
      <c r="G2" s="2"/>
      <c r="H2" s="12">
        <f t="shared" ref="H2:H18" si="1">D2-J2</f>
        <v>1654</v>
      </c>
      <c r="I2" s="2"/>
      <c r="J2" s="12">
        <v>55125</v>
      </c>
      <c r="K2" s="2"/>
      <c r="L2" t="s">
        <v>355</v>
      </c>
    </row>
    <row r="3" spans="1:12" x14ac:dyDescent="0.25">
      <c r="A3" t="s">
        <v>187</v>
      </c>
      <c r="B3" t="s">
        <v>61</v>
      </c>
      <c r="C3" t="s">
        <v>75</v>
      </c>
      <c r="D3" s="16">
        <v>2160</v>
      </c>
      <c r="E3" s="2"/>
      <c r="F3" s="37">
        <f t="shared" si="0"/>
        <v>0</v>
      </c>
      <c r="G3" s="2"/>
      <c r="H3" s="12">
        <f t="shared" si="1"/>
        <v>0</v>
      </c>
      <c r="I3" s="2"/>
      <c r="J3" s="12">
        <v>2160</v>
      </c>
      <c r="K3" s="2"/>
    </row>
    <row r="4" spans="1:12" x14ac:dyDescent="0.25">
      <c r="A4" t="s">
        <v>187</v>
      </c>
      <c r="B4" t="s">
        <v>34</v>
      </c>
      <c r="C4" t="s">
        <v>35</v>
      </c>
      <c r="D4" s="16">
        <f>ROUNDUP((85.7),0)</f>
        <v>86</v>
      </c>
      <c r="E4" s="2"/>
      <c r="F4" s="37">
        <f t="shared" si="0"/>
        <v>-0.23214285714285715</v>
      </c>
      <c r="G4" s="2"/>
      <c r="H4" s="12">
        <f t="shared" si="1"/>
        <v>-26</v>
      </c>
      <c r="I4" s="2"/>
      <c r="J4" s="12">
        <v>112</v>
      </c>
      <c r="K4" s="2"/>
    </row>
    <row r="5" spans="1:12" x14ac:dyDescent="0.25">
      <c r="A5" t="s">
        <v>187</v>
      </c>
      <c r="B5" t="s">
        <v>9</v>
      </c>
      <c r="C5" t="s">
        <v>10</v>
      </c>
      <c r="D5" s="16">
        <f>ROUNDUP((1047.07),0)</f>
        <v>1048</v>
      </c>
      <c r="E5" s="2"/>
      <c r="F5" s="37">
        <f t="shared" si="0"/>
        <v>0.1868629671574179</v>
      </c>
      <c r="G5" s="2"/>
      <c r="H5" s="12">
        <f t="shared" si="1"/>
        <v>165</v>
      </c>
      <c r="I5" s="2"/>
      <c r="J5" s="12">
        <v>883</v>
      </c>
      <c r="K5" s="2"/>
    </row>
    <row r="6" spans="1:12" x14ac:dyDescent="0.25">
      <c r="A6" t="s">
        <v>187</v>
      </c>
      <c r="B6" t="s">
        <v>36</v>
      </c>
      <c r="C6" t="s">
        <v>37</v>
      </c>
      <c r="D6" s="16">
        <f>ROUNDUP((5791.41),0)</f>
        <v>5792</v>
      </c>
      <c r="E6" s="2"/>
      <c r="F6" s="37">
        <f t="shared" si="0"/>
        <v>2.0257178087017789E-2</v>
      </c>
      <c r="G6" s="2"/>
      <c r="H6" s="12">
        <f t="shared" si="1"/>
        <v>115</v>
      </c>
      <c r="I6" s="2"/>
      <c r="J6" s="12">
        <v>5677</v>
      </c>
      <c r="K6" s="2"/>
    </row>
    <row r="7" spans="1:12" x14ac:dyDescent="0.25">
      <c r="A7" t="s">
        <v>187</v>
      </c>
      <c r="B7" t="s">
        <v>38</v>
      </c>
      <c r="C7" t="s">
        <v>39</v>
      </c>
      <c r="D7" s="16">
        <f>ROUNDUP((27269.05),0)</f>
        <v>27270</v>
      </c>
      <c r="E7" s="2"/>
      <c r="F7" s="37">
        <f t="shared" si="0"/>
        <v>9.7295992274263637E-2</v>
      </c>
      <c r="G7" s="2"/>
      <c r="H7" s="12">
        <f t="shared" si="1"/>
        <v>2418</v>
      </c>
      <c r="I7" s="2"/>
      <c r="J7" s="12">
        <v>24852</v>
      </c>
      <c r="K7" s="2"/>
    </row>
    <row r="8" spans="1:12" x14ac:dyDescent="0.25">
      <c r="A8" t="s">
        <v>187</v>
      </c>
      <c r="B8" t="s">
        <v>11</v>
      </c>
      <c r="C8" t="s">
        <v>12</v>
      </c>
      <c r="D8" s="16">
        <f>ROUNDUP((4508.8),0)</f>
        <v>4509</v>
      </c>
      <c r="E8" s="2"/>
      <c r="F8" s="37">
        <f t="shared" si="0"/>
        <v>2.898219990871748E-2</v>
      </c>
      <c r="G8" s="2"/>
      <c r="H8" s="12">
        <f t="shared" si="1"/>
        <v>127</v>
      </c>
      <c r="I8" s="2"/>
      <c r="J8" s="12">
        <v>4382</v>
      </c>
      <c r="K8" s="2"/>
    </row>
    <row r="9" spans="1:12" x14ac:dyDescent="0.25">
      <c r="A9" t="s">
        <v>187</v>
      </c>
      <c r="B9" t="s">
        <v>15</v>
      </c>
      <c r="C9" t="s">
        <v>16</v>
      </c>
      <c r="D9" s="16">
        <v>1000</v>
      </c>
      <c r="E9" s="2"/>
      <c r="F9" s="37">
        <f t="shared" si="0"/>
        <v>0</v>
      </c>
      <c r="G9" s="2"/>
      <c r="H9" s="12">
        <f t="shared" si="1"/>
        <v>0</v>
      </c>
      <c r="I9" s="2"/>
      <c r="J9" s="12">
        <v>1000</v>
      </c>
      <c r="K9" s="2"/>
    </row>
    <row r="10" spans="1:12" x14ac:dyDescent="0.25">
      <c r="A10" t="s">
        <v>187</v>
      </c>
      <c r="B10" t="s">
        <v>153</v>
      </c>
      <c r="C10" t="s">
        <v>154</v>
      </c>
      <c r="D10" s="16">
        <v>600</v>
      </c>
      <c r="E10" s="2"/>
      <c r="F10" s="37">
        <f t="shared" si="0"/>
        <v>0</v>
      </c>
      <c r="G10" s="2"/>
      <c r="H10" s="12">
        <f t="shared" si="1"/>
        <v>0</v>
      </c>
      <c r="I10" s="2"/>
      <c r="J10" s="12">
        <v>600</v>
      </c>
      <c r="K10" s="2"/>
    </row>
    <row r="11" spans="1:12" x14ac:dyDescent="0.25">
      <c r="A11" t="s">
        <v>187</v>
      </c>
      <c r="B11" t="s">
        <v>40</v>
      </c>
      <c r="C11" t="s">
        <v>41</v>
      </c>
      <c r="D11" s="16">
        <v>720</v>
      </c>
      <c r="E11" s="2"/>
      <c r="F11" s="37">
        <f t="shared" si="0"/>
        <v>0.152</v>
      </c>
      <c r="G11" s="2"/>
      <c r="H11" s="12">
        <f t="shared" si="1"/>
        <v>95</v>
      </c>
      <c r="I11" s="2"/>
      <c r="J11" s="12">
        <v>625</v>
      </c>
      <c r="K11" s="2"/>
    </row>
    <row r="12" spans="1:12" x14ac:dyDescent="0.25">
      <c r="A12" t="s">
        <v>187</v>
      </c>
      <c r="B12" t="s">
        <v>85</v>
      </c>
      <c r="C12" t="s">
        <v>86</v>
      </c>
      <c r="D12" s="16">
        <v>3968</v>
      </c>
      <c r="E12" s="2"/>
      <c r="F12" s="37">
        <f t="shared" si="0"/>
        <v>0</v>
      </c>
      <c r="G12" s="2"/>
      <c r="H12" s="12">
        <f t="shared" si="1"/>
        <v>0</v>
      </c>
      <c r="I12" s="2"/>
      <c r="J12" s="12">
        <v>3968</v>
      </c>
      <c r="K12" s="2"/>
    </row>
    <row r="13" spans="1:12" x14ac:dyDescent="0.25">
      <c r="A13" t="s">
        <v>187</v>
      </c>
      <c r="B13" t="s">
        <v>159</v>
      </c>
      <c r="C13" t="s">
        <v>160</v>
      </c>
      <c r="D13" s="16">
        <v>700</v>
      </c>
      <c r="E13" s="2"/>
      <c r="F13" s="37">
        <f t="shared" si="0"/>
        <v>0</v>
      </c>
      <c r="G13" s="2"/>
      <c r="H13" s="12">
        <f t="shared" si="1"/>
        <v>0</v>
      </c>
      <c r="I13" s="2"/>
      <c r="J13" s="12">
        <v>700</v>
      </c>
      <c r="K13" s="2"/>
    </row>
    <row r="14" spans="1:12" x14ac:dyDescent="0.25">
      <c r="A14" t="s">
        <v>187</v>
      </c>
      <c r="B14" t="s">
        <v>23</v>
      </c>
      <c r="C14" t="s">
        <v>24</v>
      </c>
      <c r="D14" s="16">
        <v>400</v>
      </c>
      <c r="E14" s="2"/>
      <c r="F14" s="37">
        <f t="shared" si="0"/>
        <v>0</v>
      </c>
      <c r="G14" s="2"/>
      <c r="H14" s="12">
        <f t="shared" si="1"/>
        <v>0</v>
      </c>
      <c r="I14" s="2"/>
      <c r="J14" s="12">
        <v>400</v>
      </c>
      <c r="K14" s="2"/>
    </row>
    <row r="15" spans="1:12" x14ac:dyDescent="0.25">
      <c r="A15" t="s">
        <v>187</v>
      </c>
      <c r="B15" t="s">
        <v>188</v>
      </c>
      <c r="C15" t="s">
        <v>189</v>
      </c>
      <c r="D15" s="16">
        <v>14761</v>
      </c>
      <c r="E15" s="2"/>
      <c r="F15" s="37">
        <f t="shared" si="0"/>
        <v>4.8292024714153822E-2</v>
      </c>
      <c r="G15" s="2"/>
      <c r="H15" s="12">
        <f t="shared" si="1"/>
        <v>680</v>
      </c>
      <c r="I15" s="2"/>
      <c r="J15" s="12">
        <v>14081</v>
      </c>
      <c r="K15" s="2"/>
    </row>
    <row r="16" spans="1:12" x14ac:dyDescent="0.25">
      <c r="A16" t="s">
        <v>187</v>
      </c>
      <c r="B16" t="s">
        <v>69</v>
      </c>
      <c r="C16" t="s">
        <v>70</v>
      </c>
      <c r="D16" s="16">
        <v>2000</v>
      </c>
      <c r="E16" s="2"/>
      <c r="F16" s="37">
        <f t="shared" si="0"/>
        <v>1.1052631578947369</v>
      </c>
      <c r="G16" s="2"/>
      <c r="H16" s="12">
        <f t="shared" si="1"/>
        <v>1050</v>
      </c>
      <c r="I16" s="2"/>
      <c r="J16" s="12">
        <v>950</v>
      </c>
      <c r="K16" s="2"/>
    </row>
    <row r="17" spans="1:12" x14ac:dyDescent="0.25">
      <c r="A17" t="s">
        <v>187</v>
      </c>
      <c r="B17" t="s">
        <v>71</v>
      </c>
      <c r="C17" t="s">
        <v>72</v>
      </c>
      <c r="D17" s="16">
        <f>16500-16250</f>
        <v>250</v>
      </c>
      <c r="E17" s="2"/>
      <c r="F17" s="37">
        <f t="shared" si="0"/>
        <v>0</v>
      </c>
      <c r="G17" s="2"/>
      <c r="H17" s="12">
        <f t="shared" si="1"/>
        <v>0</v>
      </c>
      <c r="I17" s="2"/>
      <c r="J17" s="12">
        <v>250</v>
      </c>
      <c r="K17" s="2"/>
      <c r="L17" t="s">
        <v>437</v>
      </c>
    </row>
    <row r="18" spans="1:12" x14ac:dyDescent="0.25">
      <c r="A18" t="s">
        <v>187</v>
      </c>
      <c r="B18" s="20" t="s">
        <v>165</v>
      </c>
      <c r="C18" t="s">
        <v>374</v>
      </c>
      <c r="D18" s="16">
        <v>0</v>
      </c>
      <c r="E18" s="2"/>
      <c r="F18" s="37">
        <v>0</v>
      </c>
      <c r="G18" s="2"/>
      <c r="H18" s="12">
        <f t="shared" si="1"/>
        <v>0</v>
      </c>
      <c r="I18" s="2"/>
      <c r="J18" s="12">
        <v>0</v>
      </c>
      <c r="K18" s="2"/>
      <c r="L18" t="s">
        <v>436</v>
      </c>
    </row>
    <row r="19" spans="1:12" x14ac:dyDescent="0.25">
      <c r="D19" s="2"/>
      <c r="E19" s="2"/>
      <c r="F19" s="2"/>
      <c r="G19" s="2"/>
      <c r="H19" s="2"/>
      <c r="I19" s="2"/>
      <c r="J19" s="3"/>
      <c r="K19" s="2"/>
    </row>
    <row r="20" spans="1:12" x14ac:dyDescent="0.25">
      <c r="A20" t="s">
        <v>5</v>
      </c>
      <c r="B20" t="s">
        <v>5</v>
      </c>
      <c r="C20" s="1" t="s">
        <v>372</v>
      </c>
      <c r="D20" s="8">
        <f>SUM(D2:D18)</f>
        <v>122043</v>
      </c>
      <c r="E20" s="2"/>
      <c r="F20" s="41">
        <f>H20/J20</f>
        <v>5.4230553276033343E-2</v>
      </c>
      <c r="G20" s="2"/>
      <c r="H20" s="8">
        <f>SUM(H2:H18)</f>
        <v>6278</v>
      </c>
      <c r="I20" s="2"/>
      <c r="J20" s="8">
        <f>SUM(J2:J18)</f>
        <v>115765</v>
      </c>
      <c r="K2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opLeftCell="A13" workbookViewId="0">
      <selection activeCell="L14" sqref="L14"/>
    </sheetView>
  </sheetViews>
  <sheetFormatPr defaultRowHeight="15" x14ac:dyDescent="0.25"/>
  <cols>
    <col min="1" max="1" width="9" bestFit="1" customWidth="1"/>
    <col min="2" max="2" width="6" bestFit="1" customWidth="1"/>
    <col min="3" max="3" width="29.42578125" bestFit="1" customWidth="1"/>
    <col min="4" max="4" width="16.28515625" customWidth="1"/>
    <col min="6" max="6" width="13.7109375" customWidth="1"/>
    <col min="8" max="9" width="13.85546875" customWidth="1"/>
    <col min="10" max="10" width="14.28515625" bestFit="1" customWidth="1"/>
    <col min="12" max="12" width="38.5703125" bestFit="1" customWidth="1"/>
  </cols>
  <sheetData>
    <row r="1" spans="1:12" ht="135" x14ac:dyDescent="0.25">
      <c r="A1" s="1" t="s">
        <v>0</v>
      </c>
      <c r="B1" s="1" t="s">
        <v>1</v>
      </c>
      <c r="C1" s="1" t="s">
        <v>2</v>
      </c>
      <c r="D1" s="5" t="s">
        <v>337</v>
      </c>
      <c r="E1" s="1"/>
      <c r="F1" s="5" t="s">
        <v>409</v>
      </c>
      <c r="G1" s="1"/>
      <c r="H1" s="5" t="s">
        <v>410</v>
      </c>
      <c r="I1" s="1"/>
      <c r="J1" s="4" t="s">
        <v>335</v>
      </c>
      <c r="K1" s="1"/>
    </row>
    <row r="2" spans="1:12" x14ac:dyDescent="0.25">
      <c r="A2" t="s">
        <v>140</v>
      </c>
      <c r="B2" t="s">
        <v>57</v>
      </c>
      <c r="C2" t="s">
        <v>58</v>
      </c>
      <c r="D2" s="16">
        <f>ROUNDUP((98143.34),0)</f>
        <v>98144</v>
      </c>
      <c r="E2" s="2"/>
      <c r="F2" s="37">
        <f t="shared" ref="F2:F37" si="0">H2/J2</f>
        <v>3.0004722674083013E-2</v>
      </c>
      <c r="G2" s="2"/>
      <c r="H2" s="12">
        <f t="shared" ref="H2:H37" si="1">D2-J2</f>
        <v>2859</v>
      </c>
      <c r="I2" s="2"/>
      <c r="J2" s="12">
        <v>95285</v>
      </c>
      <c r="K2" s="2"/>
      <c r="L2" t="s">
        <v>355</v>
      </c>
    </row>
    <row r="3" spans="1:12" x14ac:dyDescent="0.25">
      <c r="A3" t="s">
        <v>140</v>
      </c>
      <c r="B3" t="s">
        <v>30</v>
      </c>
      <c r="C3" t="s">
        <v>31</v>
      </c>
      <c r="D3" s="16">
        <f>ROUNDUP((1098056.83),0)</f>
        <v>1098057</v>
      </c>
      <c r="E3" s="2"/>
      <c r="F3" s="37">
        <f t="shared" si="0"/>
        <v>0.10811312662411383</v>
      </c>
      <c r="G3" s="2"/>
      <c r="H3" s="12">
        <f t="shared" si="1"/>
        <v>107132</v>
      </c>
      <c r="I3" s="2"/>
      <c r="J3" s="12">
        <v>990925</v>
      </c>
      <c r="K3" s="2"/>
      <c r="L3" t="s">
        <v>355</v>
      </c>
    </row>
    <row r="4" spans="1:12" x14ac:dyDescent="0.25">
      <c r="A4" t="s">
        <v>140</v>
      </c>
      <c r="B4" t="s">
        <v>32</v>
      </c>
      <c r="C4" t="s">
        <v>33</v>
      </c>
      <c r="D4" s="16">
        <f>ROUNDUP((53602.85),0)</f>
        <v>53603</v>
      </c>
      <c r="E4" s="2"/>
      <c r="F4" s="37">
        <f t="shared" si="0"/>
        <v>2.9995004035202336E-2</v>
      </c>
      <c r="G4" s="2"/>
      <c r="H4" s="12">
        <f t="shared" si="1"/>
        <v>1561</v>
      </c>
      <c r="I4" s="2"/>
      <c r="J4" s="12">
        <v>52042</v>
      </c>
      <c r="K4" s="2"/>
      <c r="L4" t="s">
        <v>355</v>
      </c>
    </row>
    <row r="5" spans="1:12" x14ac:dyDescent="0.25">
      <c r="A5" t="s">
        <v>140</v>
      </c>
      <c r="B5" t="s">
        <v>141</v>
      </c>
      <c r="C5" t="s">
        <v>142</v>
      </c>
      <c r="D5" s="16">
        <v>17000</v>
      </c>
      <c r="E5" s="2"/>
      <c r="F5" s="37">
        <f t="shared" si="0"/>
        <v>0</v>
      </c>
      <c r="G5" s="2"/>
      <c r="H5" s="12">
        <f t="shared" si="1"/>
        <v>0</v>
      </c>
      <c r="I5" s="2"/>
      <c r="J5" s="12">
        <v>17000</v>
      </c>
      <c r="K5" s="2"/>
    </row>
    <row r="6" spans="1:12" x14ac:dyDescent="0.25">
      <c r="A6" t="s">
        <v>140</v>
      </c>
      <c r="B6" t="s">
        <v>143</v>
      </c>
      <c r="C6" t="s">
        <v>144</v>
      </c>
      <c r="D6" s="16">
        <v>10000</v>
      </c>
      <c r="E6" s="2"/>
      <c r="F6" s="37">
        <f t="shared" si="0"/>
        <v>0.42857142857142855</v>
      </c>
      <c r="G6" s="2"/>
      <c r="H6" s="12">
        <f t="shared" si="1"/>
        <v>3000</v>
      </c>
      <c r="I6" s="2"/>
      <c r="J6" s="12">
        <v>7000</v>
      </c>
      <c r="K6" s="2"/>
    </row>
    <row r="7" spans="1:12" x14ac:dyDescent="0.25">
      <c r="A7" t="s">
        <v>140</v>
      </c>
      <c r="B7" t="s">
        <v>59</v>
      </c>
      <c r="C7" t="s">
        <v>60</v>
      </c>
      <c r="D7" s="16">
        <v>34994</v>
      </c>
      <c r="E7" s="2"/>
      <c r="F7" s="37">
        <f t="shared" si="0"/>
        <v>0</v>
      </c>
      <c r="G7" s="2"/>
      <c r="H7" s="12">
        <f t="shared" si="1"/>
        <v>0</v>
      </c>
      <c r="I7" s="2"/>
      <c r="J7" s="12">
        <v>34994</v>
      </c>
      <c r="K7" s="2"/>
    </row>
    <row r="8" spans="1:12" x14ac:dyDescent="0.25">
      <c r="A8" t="s">
        <v>140</v>
      </c>
      <c r="B8" t="s">
        <v>61</v>
      </c>
      <c r="C8" t="s">
        <v>62</v>
      </c>
      <c r="D8" s="16">
        <v>47704</v>
      </c>
      <c r="E8" s="2"/>
      <c r="F8" s="37">
        <f t="shared" si="0"/>
        <v>0.21076142131979694</v>
      </c>
      <c r="G8" s="2"/>
      <c r="H8" s="12">
        <f t="shared" si="1"/>
        <v>8304</v>
      </c>
      <c r="I8" s="2"/>
      <c r="J8" s="12">
        <v>39400</v>
      </c>
      <c r="K8" s="2"/>
    </row>
    <row r="9" spans="1:12" x14ac:dyDescent="0.25">
      <c r="A9" t="s">
        <v>140</v>
      </c>
      <c r="B9" t="s">
        <v>145</v>
      </c>
      <c r="C9" t="s">
        <v>146</v>
      </c>
      <c r="D9" s="16">
        <v>5000</v>
      </c>
      <c r="E9" s="2"/>
      <c r="F9" s="37">
        <f t="shared" si="0"/>
        <v>0</v>
      </c>
      <c r="G9" s="2"/>
      <c r="H9" s="12">
        <f t="shared" si="1"/>
        <v>0</v>
      </c>
      <c r="I9" s="2"/>
      <c r="J9" s="12">
        <v>5000</v>
      </c>
      <c r="K9" s="2"/>
    </row>
    <row r="10" spans="1:12" x14ac:dyDescent="0.25">
      <c r="A10" t="s">
        <v>140</v>
      </c>
      <c r="B10" t="s">
        <v>147</v>
      </c>
      <c r="C10" t="s">
        <v>148</v>
      </c>
      <c r="D10" s="16">
        <f>ROUNDUP((170178),0)</f>
        <v>170178</v>
      </c>
      <c r="E10" s="2"/>
      <c r="F10" s="37">
        <f t="shared" si="0"/>
        <v>0.18015256588072123</v>
      </c>
      <c r="G10" s="2"/>
      <c r="H10" s="12">
        <f t="shared" si="1"/>
        <v>25978</v>
      </c>
      <c r="I10" s="2"/>
      <c r="J10" s="12">
        <v>144200</v>
      </c>
      <c r="K10" s="2"/>
    </row>
    <row r="11" spans="1:12" x14ac:dyDescent="0.25">
      <c r="A11" t="s">
        <v>140</v>
      </c>
      <c r="B11" t="s">
        <v>34</v>
      </c>
      <c r="C11" t="s">
        <v>35</v>
      </c>
      <c r="D11" s="16">
        <f>ROUNDUP((1367.1),0)</f>
        <v>1368</v>
      </c>
      <c r="E11" s="2"/>
      <c r="F11" s="37">
        <f t="shared" si="0"/>
        <v>-0.17490952955367914</v>
      </c>
      <c r="G11" s="2"/>
      <c r="H11" s="12">
        <f t="shared" si="1"/>
        <v>-290</v>
      </c>
      <c r="I11" s="2"/>
      <c r="J11" s="12">
        <v>1658</v>
      </c>
      <c r="K11" s="2"/>
    </row>
    <row r="12" spans="1:12" x14ac:dyDescent="0.25">
      <c r="A12" t="s">
        <v>140</v>
      </c>
      <c r="B12" t="s">
        <v>9</v>
      </c>
      <c r="C12" t="s">
        <v>10</v>
      </c>
      <c r="D12" s="16">
        <f>ROUNDUP((74448.2),0)</f>
        <v>74449</v>
      </c>
      <c r="E12" s="2"/>
      <c r="F12" s="37">
        <f t="shared" si="0"/>
        <v>0.75301984977277547</v>
      </c>
      <c r="G12" s="2"/>
      <c r="H12" s="12">
        <f t="shared" si="1"/>
        <v>31980</v>
      </c>
      <c r="I12" s="2"/>
      <c r="J12" s="12">
        <v>42469</v>
      </c>
      <c r="K12" s="2"/>
    </row>
    <row r="13" spans="1:12" x14ac:dyDescent="0.25">
      <c r="A13" t="s">
        <v>140</v>
      </c>
      <c r="B13" t="s">
        <v>36</v>
      </c>
      <c r="C13" t="s">
        <v>37</v>
      </c>
      <c r="D13" s="16">
        <f>ROUNDUP((187114.65),0)</f>
        <v>187115</v>
      </c>
      <c r="E13" s="2"/>
      <c r="F13" s="37">
        <f t="shared" si="0"/>
        <v>6.5320367565844153E-2</v>
      </c>
      <c r="G13" s="2"/>
      <c r="H13" s="12">
        <f t="shared" si="1"/>
        <v>11473</v>
      </c>
      <c r="I13" s="2"/>
      <c r="J13" s="12">
        <v>175642</v>
      </c>
      <c r="K13" s="2"/>
    </row>
    <row r="14" spans="1:12" x14ac:dyDescent="0.25">
      <c r="A14" t="s">
        <v>140</v>
      </c>
      <c r="B14" t="s">
        <v>38</v>
      </c>
      <c r="C14" t="s">
        <v>39</v>
      </c>
      <c r="D14" s="16">
        <f>ROUNDUP((347579.6),0)</f>
        <v>347580</v>
      </c>
      <c r="E14" s="2"/>
      <c r="F14" s="37">
        <f t="shared" si="0"/>
        <v>0.10535856256956591</v>
      </c>
      <c r="G14" s="2"/>
      <c r="H14" s="12">
        <f t="shared" si="1"/>
        <v>33130</v>
      </c>
      <c r="I14" s="2"/>
      <c r="J14" s="12">
        <v>314450</v>
      </c>
      <c r="K14" s="2"/>
    </row>
    <row r="15" spans="1:12" x14ac:dyDescent="0.25">
      <c r="A15" t="s">
        <v>140</v>
      </c>
      <c r="B15" t="s">
        <v>11</v>
      </c>
      <c r="C15" t="s">
        <v>12</v>
      </c>
      <c r="D15" s="16">
        <f>ROUNDUP((116102.45),0)</f>
        <v>116103</v>
      </c>
      <c r="E15" s="2"/>
      <c r="F15" s="37">
        <f t="shared" si="0"/>
        <v>0.10873115157997269</v>
      </c>
      <c r="G15" s="2"/>
      <c r="H15" s="12">
        <f t="shared" si="1"/>
        <v>11386</v>
      </c>
      <c r="I15" s="2"/>
      <c r="J15" s="12">
        <v>104717</v>
      </c>
      <c r="K15" s="2"/>
    </row>
    <row r="16" spans="1:12" x14ac:dyDescent="0.25">
      <c r="A16" t="s">
        <v>140</v>
      </c>
      <c r="B16" t="s">
        <v>149</v>
      </c>
      <c r="C16" t="s">
        <v>150</v>
      </c>
      <c r="D16" s="16">
        <v>500</v>
      </c>
      <c r="E16" s="2"/>
      <c r="F16" s="37">
        <f t="shared" si="0"/>
        <v>0</v>
      </c>
      <c r="G16" s="2"/>
      <c r="H16" s="12">
        <f t="shared" si="1"/>
        <v>0</v>
      </c>
      <c r="I16" s="2"/>
      <c r="J16" s="12">
        <v>500</v>
      </c>
      <c r="K16" s="2"/>
    </row>
    <row r="17" spans="1:11" x14ac:dyDescent="0.25">
      <c r="A17" t="s">
        <v>140</v>
      </c>
      <c r="B17" t="s">
        <v>13</v>
      </c>
      <c r="C17" t="s">
        <v>14</v>
      </c>
      <c r="D17" s="16">
        <v>5150</v>
      </c>
      <c r="E17" s="2"/>
      <c r="F17" s="37">
        <f t="shared" si="0"/>
        <v>0</v>
      </c>
      <c r="G17" s="2"/>
      <c r="H17" s="12">
        <f t="shared" si="1"/>
        <v>0</v>
      </c>
      <c r="I17" s="2"/>
      <c r="J17" s="12">
        <v>5150</v>
      </c>
      <c r="K17" s="2"/>
    </row>
    <row r="18" spans="1:11" x14ac:dyDescent="0.25">
      <c r="A18" t="s">
        <v>140</v>
      </c>
      <c r="B18" t="s">
        <v>15</v>
      </c>
      <c r="C18" t="s">
        <v>16</v>
      </c>
      <c r="D18" s="16">
        <v>17000</v>
      </c>
      <c r="E18" s="2"/>
      <c r="F18" s="37">
        <f t="shared" si="0"/>
        <v>0.21428571428571427</v>
      </c>
      <c r="G18" s="2"/>
      <c r="H18" s="12">
        <f t="shared" si="1"/>
        <v>3000</v>
      </c>
      <c r="I18" s="2"/>
      <c r="J18" s="12">
        <v>14000</v>
      </c>
      <c r="K18" s="2"/>
    </row>
    <row r="19" spans="1:11" x14ac:dyDescent="0.25">
      <c r="A19" t="s">
        <v>140</v>
      </c>
      <c r="B19" t="s">
        <v>19</v>
      </c>
      <c r="C19" t="s">
        <v>20</v>
      </c>
      <c r="D19" s="16">
        <v>300</v>
      </c>
      <c r="E19" s="2"/>
      <c r="F19" s="37">
        <f t="shared" si="0"/>
        <v>-0.14285714285714285</v>
      </c>
      <c r="G19" s="2"/>
      <c r="H19" s="12">
        <f t="shared" si="1"/>
        <v>-50</v>
      </c>
      <c r="I19" s="2"/>
      <c r="J19" s="12">
        <v>350</v>
      </c>
      <c r="K19" s="2"/>
    </row>
    <row r="20" spans="1:11" x14ac:dyDescent="0.25">
      <c r="A20" t="s">
        <v>140</v>
      </c>
      <c r="B20" t="s">
        <v>21</v>
      </c>
      <c r="C20" t="s">
        <v>22</v>
      </c>
      <c r="D20" s="16">
        <v>200</v>
      </c>
      <c r="E20" s="2"/>
      <c r="F20" s="37">
        <f t="shared" si="0"/>
        <v>0</v>
      </c>
      <c r="G20" s="2"/>
      <c r="H20" s="12">
        <f t="shared" si="1"/>
        <v>0</v>
      </c>
      <c r="I20" s="2"/>
      <c r="J20" s="12">
        <v>200</v>
      </c>
      <c r="K20" s="2"/>
    </row>
    <row r="21" spans="1:11" x14ac:dyDescent="0.25">
      <c r="A21" t="s">
        <v>140</v>
      </c>
      <c r="B21" t="s">
        <v>63</v>
      </c>
      <c r="C21" t="s">
        <v>64</v>
      </c>
      <c r="D21" s="16">
        <v>3400</v>
      </c>
      <c r="E21" s="2"/>
      <c r="F21" s="37">
        <f t="shared" si="0"/>
        <v>0.30769230769230771</v>
      </c>
      <c r="G21" s="2"/>
      <c r="H21" s="12">
        <f t="shared" si="1"/>
        <v>800</v>
      </c>
      <c r="I21" s="2"/>
      <c r="J21" s="12">
        <v>2600</v>
      </c>
      <c r="K21" s="2"/>
    </row>
    <row r="22" spans="1:11" x14ac:dyDescent="0.25">
      <c r="A22" t="s">
        <v>140</v>
      </c>
      <c r="B22" t="s">
        <v>151</v>
      </c>
      <c r="C22" t="s">
        <v>152</v>
      </c>
      <c r="D22" s="16">
        <v>1750</v>
      </c>
      <c r="E22" s="2"/>
      <c r="F22" s="37">
        <f t="shared" si="0"/>
        <v>0</v>
      </c>
      <c r="G22" s="2"/>
      <c r="H22" s="12">
        <f t="shared" si="1"/>
        <v>0</v>
      </c>
      <c r="I22" s="2"/>
      <c r="J22" s="12">
        <v>1750</v>
      </c>
      <c r="K22" s="2"/>
    </row>
    <row r="23" spans="1:11" x14ac:dyDescent="0.25">
      <c r="A23" t="s">
        <v>140</v>
      </c>
      <c r="B23" t="s">
        <v>153</v>
      </c>
      <c r="C23" t="s">
        <v>154</v>
      </c>
      <c r="D23" s="16">
        <v>21800</v>
      </c>
      <c r="E23" s="2"/>
      <c r="F23" s="37">
        <f t="shared" si="0"/>
        <v>0.12371134020618557</v>
      </c>
      <c r="G23" s="2"/>
      <c r="H23" s="12">
        <f t="shared" si="1"/>
        <v>2400</v>
      </c>
      <c r="I23" s="2"/>
      <c r="J23" s="12">
        <v>19400</v>
      </c>
      <c r="K23" s="2"/>
    </row>
    <row r="24" spans="1:11" x14ac:dyDescent="0.25">
      <c r="A24" t="s">
        <v>140</v>
      </c>
      <c r="B24" t="s">
        <v>40</v>
      </c>
      <c r="C24" t="s">
        <v>41</v>
      </c>
      <c r="D24" s="16">
        <v>6634</v>
      </c>
      <c r="E24" s="2"/>
      <c r="F24" s="37">
        <f t="shared" si="0"/>
        <v>5.7379662097545428E-2</v>
      </c>
      <c r="G24" s="2"/>
      <c r="H24" s="12">
        <f t="shared" si="1"/>
        <v>360</v>
      </c>
      <c r="I24" s="2"/>
      <c r="J24" s="12">
        <v>6274</v>
      </c>
      <c r="K24" s="2"/>
    </row>
    <row r="25" spans="1:11" x14ac:dyDescent="0.25">
      <c r="A25" t="s">
        <v>140</v>
      </c>
      <c r="B25" t="s">
        <v>155</v>
      </c>
      <c r="C25" t="s">
        <v>156</v>
      </c>
      <c r="D25" s="16">
        <v>1900</v>
      </c>
      <c r="E25" s="2"/>
      <c r="F25" s="37">
        <f t="shared" si="0"/>
        <v>0</v>
      </c>
      <c r="G25" s="2"/>
      <c r="H25" s="12">
        <f t="shared" si="1"/>
        <v>0</v>
      </c>
      <c r="I25" s="2"/>
      <c r="J25" s="12">
        <v>1900</v>
      </c>
      <c r="K25" s="2"/>
    </row>
    <row r="26" spans="1:11" x14ac:dyDescent="0.25">
      <c r="A26" t="s">
        <v>140</v>
      </c>
      <c r="B26" t="s">
        <v>85</v>
      </c>
      <c r="C26" t="s">
        <v>86</v>
      </c>
      <c r="D26" s="16">
        <v>33775</v>
      </c>
      <c r="E26" s="2"/>
      <c r="F26" s="37">
        <f t="shared" si="0"/>
        <v>-0.10589013898080742</v>
      </c>
      <c r="G26" s="2"/>
      <c r="H26" s="12">
        <f t="shared" si="1"/>
        <v>-4000</v>
      </c>
      <c r="I26" s="2"/>
      <c r="J26" s="12">
        <v>37775</v>
      </c>
      <c r="K26" s="2"/>
    </row>
    <row r="27" spans="1:11" x14ac:dyDescent="0.25">
      <c r="A27" t="s">
        <v>140</v>
      </c>
      <c r="B27" t="s">
        <v>157</v>
      </c>
      <c r="C27" t="s">
        <v>158</v>
      </c>
      <c r="D27" s="16">
        <v>234</v>
      </c>
      <c r="E27" s="2"/>
      <c r="F27" s="37">
        <f t="shared" si="0"/>
        <v>0</v>
      </c>
      <c r="G27" s="2"/>
      <c r="H27" s="12">
        <f t="shared" si="1"/>
        <v>0</v>
      </c>
      <c r="I27" s="2"/>
      <c r="J27" s="12">
        <v>234</v>
      </c>
      <c r="K27" s="2"/>
    </row>
    <row r="28" spans="1:11" x14ac:dyDescent="0.25">
      <c r="A28" t="s">
        <v>140</v>
      </c>
      <c r="B28" t="s">
        <v>159</v>
      </c>
      <c r="C28" t="s">
        <v>160</v>
      </c>
      <c r="D28" s="16">
        <v>6628</v>
      </c>
      <c r="E28" s="2"/>
      <c r="F28" s="37">
        <f t="shared" si="0"/>
        <v>0.29251170046801872</v>
      </c>
      <c r="G28" s="2"/>
      <c r="H28" s="12">
        <f t="shared" si="1"/>
        <v>1500</v>
      </c>
      <c r="I28" s="2"/>
      <c r="J28" s="12">
        <v>5128</v>
      </c>
      <c r="K28" s="2"/>
    </row>
    <row r="29" spans="1:11" x14ac:dyDescent="0.25">
      <c r="A29" t="s">
        <v>140</v>
      </c>
      <c r="B29" t="s">
        <v>23</v>
      </c>
      <c r="C29" t="s">
        <v>24</v>
      </c>
      <c r="D29" s="16">
        <v>18000</v>
      </c>
      <c r="E29" s="2"/>
      <c r="F29" s="37">
        <f t="shared" si="0"/>
        <v>0.13307314616643587</v>
      </c>
      <c r="G29" s="2"/>
      <c r="H29" s="12">
        <f t="shared" si="1"/>
        <v>2114</v>
      </c>
      <c r="I29" s="2"/>
      <c r="J29" s="12">
        <v>15886</v>
      </c>
      <c r="K29" s="2"/>
    </row>
    <row r="30" spans="1:11" x14ac:dyDescent="0.25">
      <c r="A30" t="s">
        <v>140</v>
      </c>
      <c r="B30" t="s">
        <v>44</v>
      </c>
      <c r="C30" t="s">
        <v>45</v>
      </c>
      <c r="D30" s="16">
        <v>450</v>
      </c>
      <c r="E30" s="2"/>
      <c r="F30" s="37">
        <f t="shared" si="0"/>
        <v>0</v>
      </c>
      <c r="G30" s="2"/>
      <c r="H30" s="12">
        <f t="shared" si="1"/>
        <v>0</v>
      </c>
      <c r="I30" s="2"/>
      <c r="J30" s="12">
        <v>450</v>
      </c>
      <c r="K30" s="2"/>
    </row>
    <row r="31" spans="1:11" x14ac:dyDescent="0.25">
      <c r="A31" t="s">
        <v>140</v>
      </c>
      <c r="B31" t="s">
        <v>161</v>
      </c>
      <c r="C31" t="s">
        <v>162</v>
      </c>
      <c r="D31" s="16">
        <v>2608</v>
      </c>
      <c r="E31" s="2"/>
      <c r="F31" s="37">
        <f t="shared" si="0"/>
        <v>0</v>
      </c>
      <c r="G31" s="2"/>
      <c r="H31" s="12">
        <f t="shared" si="1"/>
        <v>0</v>
      </c>
      <c r="I31" s="2"/>
      <c r="J31" s="12">
        <v>2608</v>
      </c>
      <c r="K31" s="2"/>
    </row>
    <row r="32" spans="1:11" x14ac:dyDescent="0.25">
      <c r="A32" t="s">
        <v>140</v>
      </c>
      <c r="B32" t="s">
        <v>87</v>
      </c>
      <c r="C32" t="s">
        <v>88</v>
      </c>
      <c r="D32" s="16">
        <v>13000</v>
      </c>
      <c r="E32" s="2"/>
      <c r="F32" s="37">
        <f t="shared" si="0"/>
        <v>0</v>
      </c>
      <c r="G32" s="2"/>
      <c r="H32" s="12">
        <f t="shared" si="1"/>
        <v>0</v>
      </c>
      <c r="I32" s="2"/>
      <c r="J32" s="12">
        <v>13000</v>
      </c>
      <c r="K32" s="2"/>
    </row>
    <row r="33" spans="1:12" x14ac:dyDescent="0.25">
      <c r="A33" t="s">
        <v>140</v>
      </c>
      <c r="B33" t="s">
        <v>123</v>
      </c>
      <c r="C33" t="s">
        <v>124</v>
      </c>
      <c r="D33" s="16">
        <v>7768</v>
      </c>
      <c r="E33" s="2"/>
      <c r="F33" s="37">
        <f t="shared" si="0"/>
        <v>0</v>
      </c>
      <c r="G33" s="2"/>
      <c r="H33" s="12">
        <f t="shared" si="1"/>
        <v>0</v>
      </c>
      <c r="I33" s="2"/>
      <c r="J33" s="12">
        <v>7768</v>
      </c>
      <c r="K33" s="2"/>
    </row>
    <row r="34" spans="1:12" x14ac:dyDescent="0.25">
      <c r="A34" t="s">
        <v>140</v>
      </c>
      <c r="B34" t="s">
        <v>163</v>
      </c>
      <c r="C34" t="s">
        <v>164</v>
      </c>
      <c r="D34" s="16">
        <v>2000</v>
      </c>
      <c r="E34" s="2"/>
      <c r="F34" s="37">
        <f t="shared" si="0"/>
        <v>0</v>
      </c>
      <c r="G34" s="2"/>
      <c r="H34" s="12">
        <f t="shared" si="1"/>
        <v>0</v>
      </c>
      <c r="I34" s="2"/>
      <c r="J34" s="12">
        <v>2000</v>
      </c>
      <c r="K34" s="2"/>
    </row>
    <row r="35" spans="1:12" x14ac:dyDescent="0.25">
      <c r="A35" t="s">
        <v>140</v>
      </c>
      <c r="B35" t="s">
        <v>69</v>
      </c>
      <c r="C35" t="s">
        <v>70</v>
      </c>
      <c r="D35" s="16">
        <v>5500</v>
      </c>
      <c r="E35" s="2"/>
      <c r="F35" s="37">
        <f t="shared" si="0"/>
        <v>0</v>
      </c>
      <c r="G35" s="2"/>
      <c r="H35" s="12">
        <f t="shared" si="1"/>
        <v>0</v>
      </c>
      <c r="I35" s="2"/>
      <c r="J35" s="12">
        <v>5500</v>
      </c>
      <c r="K35" s="2"/>
    </row>
    <row r="36" spans="1:12" x14ac:dyDescent="0.25">
      <c r="A36" t="s">
        <v>140</v>
      </c>
      <c r="B36" t="s">
        <v>71</v>
      </c>
      <c r="C36" t="s">
        <v>72</v>
      </c>
      <c r="D36" s="16">
        <f>23750-5000</f>
        <v>18750</v>
      </c>
      <c r="E36" s="2"/>
      <c r="F36" s="37">
        <f t="shared" si="0"/>
        <v>4</v>
      </c>
      <c r="G36" s="2"/>
      <c r="H36" s="12">
        <f t="shared" si="1"/>
        <v>15000</v>
      </c>
      <c r="I36" s="2"/>
      <c r="J36" s="12">
        <v>3750</v>
      </c>
      <c r="K36" s="2"/>
      <c r="L36" t="s">
        <v>428</v>
      </c>
    </row>
    <row r="37" spans="1:12" x14ac:dyDescent="0.25">
      <c r="A37" t="s">
        <v>140</v>
      </c>
      <c r="B37" t="s">
        <v>165</v>
      </c>
      <c r="C37" t="s">
        <v>166</v>
      </c>
      <c r="D37" s="16">
        <f>115000-25000</f>
        <v>90000</v>
      </c>
      <c r="E37" s="2"/>
      <c r="F37" s="37">
        <f t="shared" si="0"/>
        <v>0.34328358208955223</v>
      </c>
      <c r="G37" s="2"/>
      <c r="H37" s="12">
        <f t="shared" si="1"/>
        <v>23000</v>
      </c>
      <c r="I37" s="2"/>
      <c r="J37" s="12">
        <v>67000</v>
      </c>
      <c r="K37" s="2"/>
      <c r="L37" t="s">
        <v>423</v>
      </c>
    </row>
    <row r="38" spans="1:12" x14ac:dyDescent="0.25">
      <c r="D38" s="2"/>
      <c r="E38" s="2"/>
      <c r="F38" s="2"/>
      <c r="G38" s="2"/>
      <c r="H38" s="2"/>
      <c r="I38" s="2"/>
      <c r="J38" s="3"/>
      <c r="K38" s="2"/>
    </row>
    <row r="39" spans="1:12" x14ac:dyDescent="0.25">
      <c r="A39" t="s">
        <v>5</v>
      </c>
      <c r="B39" t="s">
        <v>5</v>
      </c>
      <c r="C39" s="1" t="s">
        <v>366</v>
      </c>
      <c r="D39" s="18">
        <f>SUM(D2:D37)</f>
        <v>2518642</v>
      </c>
      <c r="E39" s="2"/>
      <c r="F39" s="15">
        <f>H39/J39</f>
        <v>0.12539605586225233</v>
      </c>
      <c r="G39" s="2"/>
      <c r="H39" s="18">
        <f>SUM(H2:H37)</f>
        <v>280637</v>
      </c>
      <c r="I39" s="2"/>
      <c r="J39" s="8">
        <f>SUM(J2:J37)</f>
        <v>2238005</v>
      </c>
      <c r="K39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8"/>
  <sheetViews>
    <sheetView topLeftCell="A168" workbookViewId="0">
      <selection activeCell="S186" sqref="S186"/>
    </sheetView>
  </sheetViews>
  <sheetFormatPr defaultRowHeight="15" x14ac:dyDescent="0.25"/>
  <cols>
    <col min="1" max="1" width="9.5703125" customWidth="1"/>
    <col min="2" max="2" width="8.42578125" customWidth="1"/>
    <col min="3" max="3" width="49.7109375" customWidth="1"/>
    <col min="4" max="4" width="18" customWidth="1"/>
    <col min="5" max="5" width="3.42578125" customWidth="1"/>
    <col min="6" max="6" width="18" customWidth="1"/>
    <col min="7" max="7" width="3.42578125" customWidth="1"/>
    <col min="8" max="8" width="18" customWidth="1"/>
    <col min="9" max="9" width="3.42578125" customWidth="1"/>
    <col min="10" max="10" width="18" customWidth="1"/>
    <col min="11" max="11" width="3.42578125" customWidth="1"/>
    <col min="12" max="12" width="21.42578125" style="3" customWidth="1"/>
    <col min="13" max="13" width="3.42578125" customWidth="1"/>
    <col min="14" max="14" width="21.42578125" style="3" customWidth="1"/>
    <col min="15" max="15" width="3.42578125" customWidth="1"/>
    <col min="16" max="16" width="16.85546875" style="3" customWidth="1"/>
    <col min="17" max="17" width="55.28515625" hidden="1" customWidth="1"/>
  </cols>
  <sheetData>
    <row r="1" spans="1:17" ht="15.75" thickBot="1" x14ac:dyDescent="0.3"/>
    <row r="2" spans="1:17" ht="45.75" thickBot="1" x14ac:dyDescent="0.3">
      <c r="D2" s="6" t="s">
        <v>338</v>
      </c>
      <c r="F2" s="38" t="s">
        <v>411</v>
      </c>
      <c r="H2" s="38" t="s">
        <v>411</v>
      </c>
      <c r="J2" s="6" t="s">
        <v>339</v>
      </c>
      <c r="L2" s="7" t="s">
        <v>343</v>
      </c>
      <c r="N2" s="7" t="s">
        <v>343</v>
      </c>
      <c r="P2" s="23" t="s">
        <v>340</v>
      </c>
      <c r="Q2" s="24" t="s">
        <v>368</v>
      </c>
    </row>
    <row r="3" spans="1:17" ht="105" x14ac:dyDescent="0.25">
      <c r="A3" s="1" t="s">
        <v>0</v>
      </c>
      <c r="B3" s="1" t="s">
        <v>1</v>
      </c>
      <c r="C3" s="1" t="s">
        <v>2</v>
      </c>
      <c r="D3" s="5" t="s">
        <v>337</v>
      </c>
      <c r="E3" s="1"/>
      <c r="F3" s="5" t="s">
        <v>409</v>
      </c>
      <c r="G3" s="1"/>
      <c r="H3" s="5" t="s">
        <v>410</v>
      </c>
      <c r="I3" s="1"/>
      <c r="J3" s="5" t="s">
        <v>336</v>
      </c>
      <c r="K3" s="1"/>
      <c r="L3" s="4" t="s">
        <v>344</v>
      </c>
      <c r="M3" s="1"/>
      <c r="N3" s="4" t="s">
        <v>342</v>
      </c>
      <c r="O3" s="1"/>
      <c r="P3" s="4" t="s">
        <v>335</v>
      </c>
    </row>
    <row r="4" spans="1:17" x14ac:dyDescent="0.25">
      <c r="A4" t="s">
        <v>6</v>
      </c>
      <c r="B4" t="s">
        <v>7</v>
      </c>
      <c r="C4" t="s">
        <v>8</v>
      </c>
      <c r="D4" s="12">
        <f>ROUNDUP((19500.52),0)</f>
        <v>19501</v>
      </c>
      <c r="E4" s="2"/>
      <c r="F4" s="36">
        <f>H4/J4</f>
        <v>0</v>
      </c>
      <c r="G4" s="2"/>
      <c r="H4" s="12">
        <f>D4-J4</f>
        <v>0</v>
      </c>
      <c r="I4" s="2"/>
      <c r="J4" s="12">
        <f>ROUNDUP((19500.52),0)</f>
        <v>19501</v>
      </c>
      <c r="K4" s="2"/>
      <c r="L4" s="13">
        <f>N4/P4</f>
        <v>-3.588271478367849E-4</v>
      </c>
      <c r="M4" s="2"/>
      <c r="N4" s="12">
        <f>J4-P4</f>
        <v>-7</v>
      </c>
      <c r="O4" s="2"/>
      <c r="P4" s="12">
        <v>19508</v>
      </c>
    </row>
    <row r="5" spans="1:17" x14ac:dyDescent="0.25">
      <c r="A5" t="s">
        <v>6</v>
      </c>
      <c r="B5" t="s">
        <v>9</v>
      </c>
      <c r="C5" t="s">
        <v>10</v>
      </c>
      <c r="D5" s="12">
        <f>ROUNDUP((91.23),0)</f>
        <v>92</v>
      </c>
      <c r="E5" s="2"/>
      <c r="F5" s="36">
        <f t="shared" ref="F5:F12" si="0">H5/J5</f>
        <v>0</v>
      </c>
      <c r="G5" s="2"/>
      <c r="H5" s="12">
        <f t="shared" ref="H5:H12" si="1">D5-J5</f>
        <v>0</v>
      </c>
      <c r="I5" s="2"/>
      <c r="J5" s="12">
        <f>ROUNDUP((91.23),0)</f>
        <v>92</v>
      </c>
      <c r="K5" s="2"/>
      <c r="L5" s="13">
        <f t="shared" ref="L5:L12" si="2">N5/P5</f>
        <v>0.61403508771929827</v>
      </c>
      <c r="M5" s="2"/>
      <c r="N5" s="12">
        <f t="shared" ref="N5:N12" si="3">J5-P5</f>
        <v>35</v>
      </c>
      <c r="O5" s="2"/>
      <c r="P5" s="12">
        <v>57</v>
      </c>
    </row>
    <row r="6" spans="1:17" x14ac:dyDescent="0.25">
      <c r="A6" t="s">
        <v>6</v>
      </c>
      <c r="B6" t="s">
        <v>11</v>
      </c>
      <c r="C6" t="s">
        <v>12</v>
      </c>
      <c r="D6" s="12">
        <f>ROUNDUP((1491.79),0)</f>
        <v>1492</v>
      </c>
      <c r="E6" s="2"/>
      <c r="F6" s="36">
        <f t="shared" si="0"/>
        <v>0</v>
      </c>
      <c r="G6" s="2"/>
      <c r="H6" s="12">
        <f t="shared" si="1"/>
        <v>0</v>
      </c>
      <c r="I6" s="2"/>
      <c r="J6" s="12">
        <f>ROUNDUP((1491.79),0)</f>
        <v>1492</v>
      </c>
      <c r="K6" s="2"/>
      <c r="L6" s="13">
        <f t="shared" si="2"/>
        <v>0</v>
      </c>
      <c r="M6" s="2"/>
      <c r="N6" s="12">
        <f t="shared" si="3"/>
        <v>0</v>
      </c>
      <c r="O6" s="2"/>
      <c r="P6" s="12">
        <v>1492</v>
      </c>
    </row>
    <row r="7" spans="1:17" x14ac:dyDescent="0.25">
      <c r="A7" t="s">
        <v>6</v>
      </c>
      <c r="B7" t="s">
        <v>13</v>
      </c>
      <c r="C7" t="s">
        <v>14</v>
      </c>
      <c r="D7" s="12">
        <v>250</v>
      </c>
      <c r="E7" s="2"/>
      <c r="F7" s="36">
        <f t="shared" si="0"/>
        <v>0</v>
      </c>
      <c r="G7" s="2"/>
      <c r="H7" s="12">
        <f t="shared" si="1"/>
        <v>0</v>
      </c>
      <c r="I7" s="2"/>
      <c r="J7" s="12">
        <v>250</v>
      </c>
      <c r="K7" s="2"/>
      <c r="L7" s="13">
        <f t="shared" si="2"/>
        <v>-0.5</v>
      </c>
      <c r="M7" s="2"/>
      <c r="N7" s="12">
        <f t="shared" si="3"/>
        <v>-250</v>
      </c>
      <c r="O7" s="2"/>
      <c r="P7" s="12">
        <v>500</v>
      </c>
    </row>
    <row r="8" spans="1:17" x14ac:dyDescent="0.25">
      <c r="A8" t="s">
        <v>6</v>
      </c>
      <c r="B8" t="s">
        <v>17</v>
      </c>
      <c r="C8" t="s">
        <v>18</v>
      </c>
      <c r="D8" s="12">
        <v>150</v>
      </c>
      <c r="E8" s="2"/>
      <c r="F8" s="36">
        <f t="shared" si="0"/>
        <v>0</v>
      </c>
      <c r="G8" s="2"/>
      <c r="H8" s="12">
        <f t="shared" si="1"/>
        <v>0</v>
      </c>
      <c r="I8" s="2"/>
      <c r="J8" s="12">
        <v>150</v>
      </c>
      <c r="K8" s="2"/>
      <c r="L8" s="13">
        <v>1</v>
      </c>
      <c r="M8" s="2"/>
      <c r="N8" s="12">
        <f t="shared" si="3"/>
        <v>150</v>
      </c>
      <c r="O8" s="2"/>
      <c r="P8" s="12">
        <v>0</v>
      </c>
    </row>
    <row r="9" spans="1:17" x14ac:dyDescent="0.25">
      <c r="A9" t="s">
        <v>6</v>
      </c>
      <c r="B9" t="s">
        <v>19</v>
      </c>
      <c r="C9" t="s">
        <v>20</v>
      </c>
      <c r="D9" s="12">
        <v>50</v>
      </c>
      <c r="E9" s="2"/>
      <c r="F9" s="36">
        <f t="shared" si="0"/>
        <v>0</v>
      </c>
      <c r="G9" s="2"/>
      <c r="H9" s="12">
        <f t="shared" si="1"/>
        <v>0</v>
      </c>
      <c r="I9" s="2"/>
      <c r="J9" s="12">
        <v>50</v>
      </c>
      <c r="K9" s="2"/>
      <c r="L9" s="13">
        <f t="shared" si="2"/>
        <v>0</v>
      </c>
      <c r="M9" s="2"/>
      <c r="N9" s="12">
        <f t="shared" si="3"/>
        <v>0</v>
      </c>
      <c r="O9" s="2"/>
      <c r="P9" s="12">
        <v>50</v>
      </c>
    </row>
    <row r="10" spans="1:17" x14ac:dyDescent="0.25">
      <c r="A10" t="s">
        <v>6</v>
      </c>
      <c r="B10" t="s">
        <v>21</v>
      </c>
      <c r="C10" t="s">
        <v>22</v>
      </c>
      <c r="D10" s="12">
        <v>0</v>
      </c>
      <c r="E10" s="2"/>
      <c r="F10" s="36">
        <v>0</v>
      </c>
      <c r="G10" s="2"/>
      <c r="H10" s="12">
        <f t="shared" si="1"/>
        <v>0</v>
      </c>
      <c r="I10" s="2"/>
      <c r="J10" s="12">
        <v>0</v>
      </c>
      <c r="K10" s="2"/>
      <c r="L10" s="13">
        <f t="shared" si="2"/>
        <v>-1</v>
      </c>
      <c r="M10" s="2"/>
      <c r="N10" s="12">
        <f t="shared" si="3"/>
        <v>-800</v>
      </c>
      <c r="O10" s="2"/>
      <c r="P10" s="12">
        <v>800</v>
      </c>
    </row>
    <row r="11" spans="1:17" x14ac:dyDescent="0.25">
      <c r="A11" t="s">
        <v>6</v>
      </c>
      <c r="B11" t="s">
        <v>23</v>
      </c>
      <c r="C11" t="s">
        <v>24</v>
      </c>
      <c r="D11" s="12">
        <v>500</v>
      </c>
      <c r="E11" s="2"/>
      <c r="F11" s="36">
        <f t="shared" si="0"/>
        <v>0</v>
      </c>
      <c r="G11" s="2"/>
      <c r="H11" s="12">
        <f t="shared" si="1"/>
        <v>0</v>
      </c>
      <c r="I11" s="2"/>
      <c r="J11" s="12">
        <v>500</v>
      </c>
      <c r="K11" s="2"/>
      <c r="L11" s="13">
        <f t="shared" si="2"/>
        <v>0</v>
      </c>
      <c r="M11" s="2"/>
      <c r="N11" s="12">
        <f t="shared" si="3"/>
        <v>0</v>
      </c>
      <c r="O11" s="2"/>
      <c r="P11" s="12">
        <v>500</v>
      </c>
    </row>
    <row r="12" spans="1:17" x14ac:dyDescent="0.25">
      <c r="A12" t="s">
        <v>6</v>
      </c>
      <c r="B12" t="s">
        <v>25</v>
      </c>
      <c r="C12" t="s">
        <v>26</v>
      </c>
      <c r="D12" s="12">
        <f>5000+1200</f>
        <v>6200</v>
      </c>
      <c r="E12" s="2"/>
      <c r="F12" s="36">
        <f t="shared" si="0"/>
        <v>0.24</v>
      </c>
      <c r="G12" s="2"/>
      <c r="H12" s="12">
        <f t="shared" si="1"/>
        <v>1200</v>
      </c>
      <c r="I12" s="2"/>
      <c r="J12" s="12">
        <v>5000</v>
      </c>
      <c r="K12" s="2"/>
      <c r="L12" s="13">
        <f t="shared" si="2"/>
        <v>0</v>
      </c>
      <c r="M12" s="2"/>
      <c r="N12" s="12">
        <f t="shared" si="3"/>
        <v>0</v>
      </c>
      <c r="O12" s="2"/>
      <c r="P12" s="9">
        <v>5000</v>
      </c>
    </row>
    <row r="13" spans="1:17" x14ac:dyDescent="0.25">
      <c r="D13" s="2"/>
      <c r="E13" s="2"/>
      <c r="F13" s="2"/>
      <c r="G13" s="2"/>
      <c r="H13" s="2"/>
      <c r="I13" s="2"/>
      <c r="J13" s="2"/>
      <c r="K13" s="2"/>
      <c r="M13" s="2"/>
      <c r="O13" s="2"/>
    </row>
    <row r="14" spans="1:17" x14ac:dyDescent="0.25">
      <c r="A14" t="s">
        <v>5</v>
      </c>
      <c r="B14" t="s">
        <v>5</v>
      </c>
      <c r="C14" s="1" t="s">
        <v>341</v>
      </c>
      <c r="D14" s="8">
        <f>SUM(D4:D12)</f>
        <v>28235</v>
      </c>
      <c r="E14" s="2"/>
      <c r="F14" s="15">
        <f>H14/J14</f>
        <v>4.4386905862770484E-2</v>
      </c>
      <c r="G14" s="2"/>
      <c r="H14" s="8">
        <f>SUM(H4:H12)</f>
        <v>1200</v>
      </c>
      <c r="I14" s="2"/>
      <c r="J14" s="8">
        <f>SUM(J4:J12)</f>
        <v>27035</v>
      </c>
      <c r="K14" s="2"/>
      <c r="L14" s="14">
        <f>N14/P14</f>
        <v>-3.1246640627799478E-2</v>
      </c>
      <c r="M14" s="2"/>
      <c r="N14" s="8">
        <f>SUM(N4:N12)</f>
        <v>-872</v>
      </c>
      <c r="O14" s="2"/>
      <c r="P14" s="8">
        <f>SUM(P4:P12)</f>
        <v>27907</v>
      </c>
    </row>
    <row r="15" spans="1:17" x14ac:dyDescent="0.25">
      <c r="D15" s="2"/>
      <c r="E15" s="2"/>
      <c r="F15" s="2"/>
      <c r="G15" s="2"/>
      <c r="H15" s="2"/>
      <c r="I15" s="2"/>
      <c r="J15" s="2"/>
      <c r="K15" s="2"/>
      <c r="M15" s="2"/>
      <c r="O15" s="2"/>
    </row>
    <row r="16" spans="1:17" x14ac:dyDescent="0.25">
      <c r="A16" t="s">
        <v>27</v>
      </c>
      <c r="B16" t="s">
        <v>28</v>
      </c>
      <c r="C16" t="s">
        <v>29</v>
      </c>
      <c r="D16" s="12">
        <v>113300</v>
      </c>
      <c r="E16" s="2"/>
      <c r="F16" s="37">
        <f>H16/J16</f>
        <v>0</v>
      </c>
      <c r="G16" s="2"/>
      <c r="H16" s="12">
        <f>D16-J16</f>
        <v>0</v>
      </c>
      <c r="I16" s="2"/>
      <c r="J16" s="12">
        <v>113300</v>
      </c>
      <c r="K16" s="2"/>
      <c r="L16" s="13">
        <f>N16/P16</f>
        <v>1.8701672361086136E-2</v>
      </c>
      <c r="M16" s="2"/>
      <c r="N16" s="12">
        <f>J16-P16</f>
        <v>2080</v>
      </c>
      <c r="O16" s="2"/>
      <c r="P16" s="9">
        <v>111220</v>
      </c>
      <c r="Q16" t="s">
        <v>355</v>
      </c>
    </row>
    <row r="17" spans="1:17" x14ac:dyDescent="0.25">
      <c r="A17" t="s">
        <v>27</v>
      </c>
      <c r="B17" t="s">
        <v>30</v>
      </c>
      <c r="C17" t="s">
        <v>31</v>
      </c>
      <c r="D17" s="12">
        <f>ROUNDUP((177841.52),0)</f>
        <v>177842</v>
      </c>
      <c r="E17" s="2"/>
      <c r="F17" s="37">
        <f t="shared" ref="F17:F32" si="4">H17/J17</f>
        <v>4.0650691945346561E-2</v>
      </c>
      <c r="G17" s="2"/>
      <c r="H17" s="12">
        <f t="shared" ref="H17:H32" si="5">D17-J17</f>
        <v>6947</v>
      </c>
      <c r="I17" s="2"/>
      <c r="J17" s="12">
        <f>ROUNDUP((170894.32),0)</f>
        <v>170895</v>
      </c>
      <c r="K17" s="2"/>
      <c r="L17" s="13">
        <f t="shared" ref="L17:L32" si="6">N17/P17</f>
        <v>2.9456944067949759E-2</v>
      </c>
      <c r="M17" s="2"/>
      <c r="N17" s="12">
        <f t="shared" ref="N17:N32" si="7">J17-P17</f>
        <v>4890</v>
      </c>
      <c r="O17" s="2"/>
      <c r="P17" s="9">
        <v>166005</v>
      </c>
      <c r="Q17" t="s">
        <v>358</v>
      </c>
    </row>
    <row r="18" spans="1:17" x14ac:dyDescent="0.25">
      <c r="A18" t="s">
        <v>27</v>
      </c>
      <c r="B18" t="s">
        <v>32</v>
      </c>
      <c r="C18" t="s">
        <v>33</v>
      </c>
      <c r="D18" s="12">
        <f>ROUNDUP((48734.4),0)</f>
        <v>48735</v>
      </c>
      <c r="E18" s="2"/>
      <c r="F18" s="37">
        <f t="shared" si="4"/>
        <v>3.3988924957036475E-2</v>
      </c>
      <c r="G18" s="2"/>
      <c r="H18" s="12">
        <f t="shared" si="5"/>
        <v>1602</v>
      </c>
      <c r="I18" s="2"/>
      <c r="J18" s="12">
        <f>ROUNDUP((47132.8),0)</f>
        <v>47133</v>
      </c>
      <c r="K18" s="2"/>
      <c r="L18" s="13">
        <f t="shared" si="6"/>
        <v>3.0004370629370631E-2</v>
      </c>
      <c r="M18" s="2"/>
      <c r="N18" s="12">
        <f t="shared" si="7"/>
        <v>1373</v>
      </c>
      <c r="O18" s="2"/>
      <c r="P18" s="9">
        <v>45760</v>
      </c>
      <c r="Q18" t="s">
        <v>355</v>
      </c>
    </row>
    <row r="19" spans="1:17" x14ac:dyDescent="0.25">
      <c r="A19" t="s">
        <v>27</v>
      </c>
      <c r="B19" t="s">
        <v>34</v>
      </c>
      <c r="C19" t="s">
        <v>35</v>
      </c>
      <c r="D19" s="12">
        <f>ROUNDUP((235.2),0)</f>
        <v>236</v>
      </c>
      <c r="E19" s="2"/>
      <c r="F19" s="37">
        <f t="shared" si="4"/>
        <v>0</v>
      </c>
      <c r="G19" s="2"/>
      <c r="H19" s="12">
        <f t="shared" si="5"/>
        <v>0</v>
      </c>
      <c r="I19" s="2"/>
      <c r="J19" s="12">
        <f>ROUNDUP((235.2),0)</f>
        <v>236</v>
      </c>
      <c r="K19" s="2"/>
      <c r="L19" s="13">
        <f t="shared" si="6"/>
        <v>-0.20805369127516779</v>
      </c>
      <c r="M19" s="2"/>
      <c r="N19" s="12">
        <f t="shared" si="7"/>
        <v>-62</v>
      </c>
      <c r="O19" s="2"/>
      <c r="P19" s="9">
        <v>298</v>
      </c>
    </row>
    <row r="20" spans="1:17" x14ac:dyDescent="0.25">
      <c r="A20" t="s">
        <v>27</v>
      </c>
      <c r="B20" t="s">
        <v>9</v>
      </c>
      <c r="C20" t="s">
        <v>10</v>
      </c>
      <c r="D20" s="12">
        <f>ROUNDUP((4849.82),0)</f>
        <v>4850</v>
      </c>
      <c r="E20" s="2"/>
      <c r="F20" s="37">
        <f t="shared" si="4"/>
        <v>8.3160083160083165E-3</v>
      </c>
      <c r="G20" s="2"/>
      <c r="H20" s="12">
        <f t="shared" si="5"/>
        <v>40</v>
      </c>
      <c r="I20" s="2"/>
      <c r="J20" s="12">
        <f>ROUNDUP((4809.82),0)</f>
        <v>4810</v>
      </c>
      <c r="K20" s="2"/>
      <c r="L20" s="13">
        <f t="shared" si="6"/>
        <v>0.36183465458663644</v>
      </c>
      <c r="M20" s="2"/>
      <c r="N20" s="12">
        <f t="shared" si="7"/>
        <v>1278</v>
      </c>
      <c r="O20" s="2"/>
      <c r="P20" s="9">
        <v>3532</v>
      </c>
    </row>
    <row r="21" spans="1:17" x14ac:dyDescent="0.25">
      <c r="A21" t="s">
        <v>27</v>
      </c>
      <c r="B21" t="s">
        <v>36</v>
      </c>
      <c r="C21" t="s">
        <v>37</v>
      </c>
      <c r="D21" s="12">
        <f>ROUNDUP((34667.34),0)</f>
        <v>34668</v>
      </c>
      <c r="E21" s="2"/>
      <c r="F21" s="37">
        <f t="shared" si="4"/>
        <v>2.5801870043792165E-2</v>
      </c>
      <c r="G21" s="2"/>
      <c r="H21" s="12">
        <f t="shared" si="5"/>
        <v>872</v>
      </c>
      <c r="I21" s="2"/>
      <c r="J21" s="12">
        <f>ROUNDUP((33795.37),0)</f>
        <v>33796</v>
      </c>
      <c r="K21" s="2"/>
      <c r="L21" s="13">
        <f t="shared" si="6"/>
        <v>2.5862068965517241E-2</v>
      </c>
      <c r="M21" s="2"/>
      <c r="N21" s="12">
        <f t="shared" si="7"/>
        <v>852</v>
      </c>
      <c r="O21" s="2"/>
      <c r="P21" s="9">
        <v>32944</v>
      </c>
    </row>
    <row r="22" spans="1:17" x14ac:dyDescent="0.25">
      <c r="A22" t="s">
        <v>27</v>
      </c>
      <c r="B22" t="s">
        <v>38</v>
      </c>
      <c r="C22" t="s">
        <v>39</v>
      </c>
      <c r="D22" s="12">
        <f>ROUNDUP((30774.57),0)</f>
        <v>30775</v>
      </c>
      <c r="E22" s="2"/>
      <c r="F22" s="37">
        <f t="shared" si="4"/>
        <v>0</v>
      </c>
      <c r="G22" s="2"/>
      <c r="H22" s="12">
        <f t="shared" si="5"/>
        <v>0</v>
      </c>
      <c r="I22" s="2"/>
      <c r="J22" s="12">
        <f>ROUNDUP((30774.57),)</f>
        <v>30775</v>
      </c>
      <c r="K22" s="2"/>
      <c r="L22" s="13">
        <f t="shared" si="6"/>
        <v>-0.51853879849812268</v>
      </c>
      <c r="M22" s="2"/>
      <c r="N22" s="12">
        <f t="shared" si="7"/>
        <v>-33145</v>
      </c>
      <c r="O22" s="2"/>
      <c r="P22" s="9">
        <v>63920</v>
      </c>
    </row>
    <row r="23" spans="1:17" x14ac:dyDescent="0.25">
      <c r="A23" t="s">
        <v>27</v>
      </c>
      <c r="B23" t="s">
        <v>11</v>
      </c>
      <c r="C23" t="s">
        <v>12</v>
      </c>
      <c r="D23" s="12">
        <f>ROUNDUP((26000.51),0)</f>
        <v>26001</v>
      </c>
      <c r="E23" s="2"/>
      <c r="F23" s="37">
        <f t="shared" si="4"/>
        <v>2.5801870043792165E-2</v>
      </c>
      <c r="G23" s="2"/>
      <c r="H23" s="12">
        <f t="shared" si="5"/>
        <v>654</v>
      </c>
      <c r="I23" s="2"/>
      <c r="J23" s="12">
        <f>ROUNDUP((25346.52),0)</f>
        <v>25347</v>
      </c>
      <c r="K23" s="2"/>
      <c r="L23" s="13">
        <f t="shared" si="6"/>
        <v>2.5862068965517241E-2</v>
      </c>
      <c r="M23" s="2"/>
      <c r="N23" s="12">
        <f t="shared" si="7"/>
        <v>639</v>
      </c>
      <c r="O23" s="2"/>
      <c r="P23" s="9">
        <v>24708</v>
      </c>
    </row>
    <row r="24" spans="1:17" x14ac:dyDescent="0.25">
      <c r="A24" t="s">
        <v>27</v>
      </c>
      <c r="B24" t="s">
        <v>13</v>
      </c>
      <c r="C24" t="s">
        <v>14</v>
      </c>
      <c r="D24" s="12">
        <v>2000</v>
      </c>
      <c r="E24" s="2"/>
      <c r="F24" s="37">
        <f t="shared" si="4"/>
        <v>0</v>
      </c>
      <c r="G24" s="2"/>
      <c r="H24" s="12">
        <f t="shared" si="5"/>
        <v>0</v>
      </c>
      <c r="I24" s="2"/>
      <c r="J24" s="12">
        <v>2000</v>
      </c>
      <c r="K24" s="2"/>
      <c r="L24" s="13">
        <f t="shared" si="6"/>
        <v>0</v>
      </c>
      <c r="M24" s="2"/>
      <c r="N24" s="12">
        <f t="shared" si="7"/>
        <v>0</v>
      </c>
      <c r="O24" s="2"/>
      <c r="P24" s="9">
        <v>2000</v>
      </c>
    </row>
    <row r="25" spans="1:17" x14ac:dyDescent="0.25">
      <c r="A25" t="s">
        <v>27</v>
      </c>
      <c r="B25" t="s">
        <v>19</v>
      </c>
      <c r="C25" t="s">
        <v>20</v>
      </c>
      <c r="D25" s="12">
        <v>75</v>
      </c>
      <c r="E25" s="2"/>
      <c r="F25" s="37">
        <f t="shared" si="4"/>
        <v>0</v>
      </c>
      <c r="G25" s="2"/>
      <c r="H25" s="12">
        <f t="shared" si="5"/>
        <v>0</v>
      </c>
      <c r="I25" s="2"/>
      <c r="J25" s="12">
        <v>75</v>
      </c>
      <c r="K25" s="2"/>
      <c r="L25" s="13">
        <f t="shared" si="6"/>
        <v>-0.75</v>
      </c>
      <c r="M25" s="2"/>
      <c r="N25" s="12">
        <f t="shared" si="7"/>
        <v>-225</v>
      </c>
      <c r="O25" s="2"/>
      <c r="P25" s="9">
        <v>300</v>
      </c>
    </row>
    <row r="26" spans="1:17" x14ac:dyDescent="0.25">
      <c r="A26" t="s">
        <v>27</v>
      </c>
      <c r="B26" t="s">
        <v>21</v>
      </c>
      <c r="C26" t="s">
        <v>22</v>
      </c>
      <c r="D26" s="12">
        <v>1000</v>
      </c>
      <c r="E26" s="2"/>
      <c r="F26" s="37">
        <f t="shared" si="4"/>
        <v>0</v>
      </c>
      <c r="G26" s="2"/>
      <c r="H26" s="12">
        <f t="shared" si="5"/>
        <v>0</v>
      </c>
      <c r="I26" s="2"/>
      <c r="J26" s="12">
        <v>1000</v>
      </c>
      <c r="K26" s="2"/>
      <c r="L26" s="13">
        <f t="shared" si="6"/>
        <v>0</v>
      </c>
      <c r="M26" s="2"/>
      <c r="N26" s="12">
        <f t="shared" si="7"/>
        <v>0</v>
      </c>
      <c r="O26" s="2"/>
      <c r="P26" s="9">
        <v>1000</v>
      </c>
    </row>
    <row r="27" spans="1:17" x14ac:dyDescent="0.25">
      <c r="A27" t="s">
        <v>27</v>
      </c>
      <c r="B27" t="s">
        <v>40</v>
      </c>
      <c r="C27" t="s">
        <v>41</v>
      </c>
      <c r="D27" s="12">
        <v>1260</v>
      </c>
      <c r="E27" s="2"/>
      <c r="F27" s="37">
        <f t="shared" si="4"/>
        <v>0</v>
      </c>
      <c r="G27" s="2"/>
      <c r="H27" s="12">
        <f t="shared" si="5"/>
        <v>0</v>
      </c>
      <c r="I27" s="2"/>
      <c r="J27" s="12">
        <v>1260</v>
      </c>
      <c r="K27" s="2"/>
      <c r="L27" s="13">
        <f t="shared" si="6"/>
        <v>0</v>
      </c>
      <c r="M27" s="2"/>
      <c r="N27" s="12">
        <f t="shared" si="7"/>
        <v>0</v>
      </c>
      <c r="O27" s="2"/>
      <c r="P27" s="9">
        <v>1260</v>
      </c>
    </row>
    <row r="28" spans="1:17" x14ac:dyDescent="0.25">
      <c r="A28" t="s">
        <v>27</v>
      </c>
      <c r="B28" t="s">
        <v>23</v>
      </c>
      <c r="C28" t="s">
        <v>24</v>
      </c>
      <c r="D28" s="12">
        <v>7000</v>
      </c>
      <c r="E28" s="2"/>
      <c r="F28" s="37">
        <f t="shared" si="4"/>
        <v>0</v>
      </c>
      <c r="G28" s="2"/>
      <c r="H28" s="12">
        <f t="shared" si="5"/>
        <v>0</v>
      </c>
      <c r="I28" s="2"/>
      <c r="J28" s="12">
        <v>7000</v>
      </c>
      <c r="K28" s="2"/>
      <c r="L28" s="13">
        <f t="shared" si="6"/>
        <v>0.75</v>
      </c>
      <c r="M28" s="2"/>
      <c r="N28" s="12">
        <f t="shared" si="7"/>
        <v>3000</v>
      </c>
      <c r="O28" s="2"/>
      <c r="P28" s="9">
        <v>4000</v>
      </c>
    </row>
    <row r="29" spans="1:17" x14ac:dyDescent="0.25">
      <c r="A29" t="s">
        <v>27</v>
      </c>
      <c r="B29" t="s">
        <v>42</v>
      </c>
      <c r="C29" t="s">
        <v>43</v>
      </c>
      <c r="D29" s="12">
        <v>2000</v>
      </c>
      <c r="E29" s="2"/>
      <c r="F29" s="37">
        <f t="shared" si="4"/>
        <v>0</v>
      </c>
      <c r="G29" s="2"/>
      <c r="H29" s="12">
        <f t="shared" si="5"/>
        <v>0</v>
      </c>
      <c r="I29" s="2"/>
      <c r="J29" s="12">
        <v>2000</v>
      </c>
      <c r="K29" s="2"/>
      <c r="L29" s="13">
        <f t="shared" si="6"/>
        <v>19</v>
      </c>
      <c r="M29" s="2"/>
      <c r="N29" s="12">
        <f t="shared" si="7"/>
        <v>1900</v>
      </c>
      <c r="O29" s="2"/>
      <c r="P29" s="9">
        <v>100</v>
      </c>
    </row>
    <row r="30" spans="1:17" x14ac:dyDescent="0.25">
      <c r="A30" t="s">
        <v>27</v>
      </c>
      <c r="B30" t="s">
        <v>44</v>
      </c>
      <c r="C30" t="s">
        <v>45</v>
      </c>
      <c r="D30" s="12">
        <v>6020</v>
      </c>
      <c r="E30" s="2"/>
      <c r="F30" s="37">
        <f t="shared" si="4"/>
        <v>0</v>
      </c>
      <c r="G30" s="2"/>
      <c r="H30" s="12">
        <f t="shared" si="5"/>
        <v>0</v>
      </c>
      <c r="I30" s="2"/>
      <c r="J30" s="12">
        <v>6020</v>
      </c>
      <c r="K30" s="2"/>
      <c r="L30" s="13">
        <f t="shared" si="6"/>
        <v>1.0758620689655172</v>
      </c>
      <c r="M30" s="2"/>
      <c r="N30" s="12">
        <f t="shared" si="7"/>
        <v>3120</v>
      </c>
      <c r="O30" s="2"/>
      <c r="P30" s="9">
        <v>2900</v>
      </c>
    </row>
    <row r="31" spans="1:17" x14ac:dyDescent="0.25">
      <c r="A31" s="20" t="s">
        <v>27</v>
      </c>
      <c r="B31" s="20" t="s">
        <v>51</v>
      </c>
      <c r="C31" t="s">
        <v>421</v>
      </c>
      <c r="D31" s="12">
        <v>5000</v>
      </c>
      <c r="E31" s="2"/>
      <c r="F31" s="37">
        <v>1</v>
      </c>
      <c r="G31" s="2"/>
      <c r="H31" s="12">
        <f t="shared" si="5"/>
        <v>5000</v>
      </c>
      <c r="I31" s="2"/>
      <c r="J31" s="12">
        <v>0</v>
      </c>
      <c r="K31" s="2"/>
      <c r="L31" s="13">
        <v>0</v>
      </c>
      <c r="M31" s="2"/>
      <c r="N31" s="12">
        <f t="shared" si="7"/>
        <v>0</v>
      </c>
      <c r="O31" s="2"/>
      <c r="P31" s="9">
        <v>0</v>
      </c>
      <c r="Q31" t="s">
        <v>422</v>
      </c>
    </row>
    <row r="32" spans="1:17" x14ac:dyDescent="0.25">
      <c r="A32" t="s">
        <v>27</v>
      </c>
      <c r="B32" t="s">
        <v>46</v>
      </c>
      <c r="C32" t="s">
        <v>47</v>
      </c>
      <c r="D32" s="12">
        <v>12934</v>
      </c>
      <c r="E32" s="2"/>
      <c r="F32" s="37">
        <f t="shared" si="4"/>
        <v>0</v>
      </c>
      <c r="G32" s="2"/>
      <c r="H32" s="12">
        <f t="shared" si="5"/>
        <v>0</v>
      </c>
      <c r="I32" s="2"/>
      <c r="J32" s="12">
        <v>12934</v>
      </c>
      <c r="K32" s="2"/>
      <c r="L32" s="13">
        <f t="shared" si="6"/>
        <v>0.30199315482182404</v>
      </c>
      <c r="M32" s="2"/>
      <c r="N32" s="12">
        <f t="shared" si="7"/>
        <v>3000</v>
      </c>
      <c r="O32" s="2"/>
      <c r="P32" s="9">
        <v>9934</v>
      </c>
    </row>
    <row r="33" spans="1:16" x14ac:dyDescent="0.25">
      <c r="D33" s="10"/>
      <c r="E33" s="2"/>
      <c r="F33" s="10"/>
      <c r="G33" s="2"/>
      <c r="H33" s="10"/>
      <c r="I33" s="2"/>
      <c r="J33" s="10"/>
      <c r="K33" s="2"/>
      <c r="L33" s="11"/>
      <c r="M33" s="2"/>
      <c r="N33" s="11"/>
      <c r="O33" s="2"/>
      <c r="P33" s="11"/>
    </row>
    <row r="34" spans="1:16" x14ac:dyDescent="0.25">
      <c r="A34" t="s">
        <v>5</v>
      </c>
      <c r="B34" t="s">
        <v>5</v>
      </c>
      <c r="C34" s="1" t="s">
        <v>345</v>
      </c>
      <c r="D34" s="8">
        <f>SUM(D16:D32)</f>
        <v>473696</v>
      </c>
      <c r="E34" s="2"/>
      <c r="F34" s="15">
        <f>H34/J34</f>
        <v>3.2960371232126931E-2</v>
      </c>
      <c r="G34" s="2"/>
      <c r="H34" s="8">
        <f>SUM(H16:H33)</f>
        <v>15115</v>
      </c>
      <c r="I34" s="2"/>
      <c r="J34" s="8">
        <f>SUM(J16:J32)</f>
        <v>458581</v>
      </c>
      <c r="K34" s="2"/>
      <c r="L34" s="15">
        <f>N34/P34</f>
        <v>-2.4048642103000548E-2</v>
      </c>
      <c r="M34" s="2"/>
      <c r="N34" s="8">
        <f>SUM(N16:N32)</f>
        <v>-11300</v>
      </c>
      <c r="O34" s="2"/>
      <c r="P34" s="8">
        <f>SUM(P16:P32)</f>
        <v>469881</v>
      </c>
    </row>
    <row r="35" spans="1:16" x14ac:dyDescent="0.25">
      <c r="D35" s="2"/>
      <c r="E35" s="2"/>
      <c r="F35" s="2"/>
      <c r="G35" s="2"/>
      <c r="H35" s="2"/>
      <c r="I35" s="2"/>
      <c r="J35" s="2"/>
      <c r="K35" s="2"/>
      <c r="M35" s="2"/>
      <c r="O35" s="2"/>
    </row>
    <row r="36" spans="1:16" x14ac:dyDescent="0.25">
      <c r="A36" t="s">
        <v>48</v>
      </c>
      <c r="B36" t="s">
        <v>7</v>
      </c>
      <c r="C36" t="s">
        <v>49</v>
      </c>
      <c r="D36" s="12">
        <f>ROUNDUP((787.8),0)</f>
        <v>788</v>
      </c>
      <c r="E36" s="2"/>
      <c r="F36" s="37">
        <f t="shared" ref="F36:F42" si="8">H36/J36</f>
        <v>0</v>
      </c>
      <c r="G36" s="2"/>
      <c r="H36" s="12">
        <f t="shared" ref="H36:H42" si="9">D36-J36</f>
        <v>0</v>
      </c>
      <c r="I36" s="2"/>
      <c r="J36" s="12">
        <f>ROUNDUP((787.8),0)</f>
        <v>788</v>
      </c>
      <c r="K36" s="2"/>
      <c r="L36" s="13">
        <f>N36/P36</f>
        <v>-1.2674271229404308E-3</v>
      </c>
      <c r="M36" s="2"/>
      <c r="N36" s="12">
        <f>J36-P36</f>
        <v>-1</v>
      </c>
      <c r="O36" s="2"/>
      <c r="P36" s="12">
        <v>789</v>
      </c>
    </row>
    <row r="37" spans="1:16" x14ac:dyDescent="0.25">
      <c r="A37" t="s">
        <v>48</v>
      </c>
      <c r="B37" t="s">
        <v>9</v>
      </c>
      <c r="C37" t="s">
        <v>10</v>
      </c>
      <c r="D37" s="12">
        <f>ROUNDUP((3.69),0)</f>
        <v>4</v>
      </c>
      <c r="E37" s="2"/>
      <c r="F37" s="37">
        <f t="shared" si="8"/>
        <v>0</v>
      </c>
      <c r="G37" s="2"/>
      <c r="H37" s="12">
        <f t="shared" si="9"/>
        <v>0</v>
      </c>
      <c r="I37" s="2"/>
      <c r="J37" s="12">
        <f>ROUNDUP((3.69),0)</f>
        <v>4</v>
      </c>
      <c r="K37" s="2"/>
      <c r="L37" s="13">
        <f t="shared" ref="L37:L42" si="10">N37/P37</f>
        <v>3</v>
      </c>
      <c r="M37" s="2"/>
      <c r="N37" s="12">
        <f t="shared" ref="N37:N42" si="11">J37-P37</f>
        <v>3</v>
      </c>
      <c r="O37" s="2"/>
      <c r="P37" s="12">
        <v>1</v>
      </c>
    </row>
    <row r="38" spans="1:16" x14ac:dyDescent="0.25">
      <c r="A38" t="s">
        <v>48</v>
      </c>
      <c r="B38" t="s">
        <v>11</v>
      </c>
      <c r="C38" t="s">
        <v>12</v>
      </c>
      <c r="D38" s="12">
        <f>ROUNDUP((60.27),0)</f>
        <v>61</v>
      </c>
      <c r="E38" s="2"/>
      <c r="F38" s="37">
        <f t="shared" si="8"/>
        <v>0</v>
      </c>
      <c r="G38" s="2"/>
      <c r="H38" s="12">
        <f t="shared" si="9"/>
        <v>0</v>
      </c>
      <c r="I38" s="2"/>
      <c r="J38" s="12">
        <f>ROUNDUP((60.27),0)</f>
        <v>61</v>
      </c>
      <c r="K38" s="2"/>
      <c r="L38" s="13">
        <f t="shared" si="10"/>
        <v>1.6666666666666666E-2</v>
      </c>
      <c r="M38" s="2"/>
      <c r="N38" s="12">
        <f t="shared" si="11"/>
        <v>1</v>
      </c>
      <c r="O38" s="2"/>
      <c r="P38" s="12">
        <v>60</v>
      </c>
    </row>
    <row r="39" spans="1:16" x14ac:dyDescent="0.25">
      <c r="A39" t="s">
        <v>48</v>
      </c>
      <c r="B39" t="s">
        <v>13</v>
      </c>
      <c r="C39" t="s">
        <v>14</v>
      </c>
      <c r="D39" s="12">
        <v>50</v>
      </c>
      <c r="E39" s="2"/>
      <c r="F39" s="37">
        <f t="shared" si="8"/>
        <v>0</v>
      </c>
      <c r="G39" s="2"/>
      <c r="H39" s="12">
        <f t="shared" si="9"/>
        <v>0</v>
      </c>
      <c r="I39" s="2"/>
      <c r="J39" s="12">
        <v>50</v>
      </c>
      <c r="K39" s="2"/>
      <c r="L39" s="13">
        <f t="shared" si="10"/>
        <v>0</v>
      </c>
      <c r="M39" s="2"/>
      <c r="N39" s="12">
        <f t="shared" si="11"/>
        <v>0</v>
      </c>
      <c r="O39" s="2"/>
      <c r="P39" s="12">
        <v>50</v>
      </c>
    </row>
    <row r="40" spans="1:16" x14ac:dyDescent="0.25">
      <c r="A40" t="s">
        <v>48</v>
      </c>
      <c r="B40" t="s">
        <v>19</v>
      </c>
      <c r="C40" t="s">
        <v>20</v>
      </c>
      <c r="D40" s="12">
        <v>50</v>
      </c>
      <c r="E40" s="2"/>
      <c r="F40" s="37">
        <f t="shared" si="8"/>
        <v>0</v>
      </c>
      <c r="G40" s="2"/>
      <c r="H40" s="12">
        <f t="shared" si="9"/>
        <v>0</v>
      </c>
      <c r="I40" s="2"/>
      <c r="J40" s="12">
        <v>50</v>
      </c>
      <c r="K40" s="2"/>
      <c r="L40" s="13">
        <f t="shared" si="10"/>
        <v>0</v>
      </c>
      <c r="M40" s="2"/>
      <c r="N40" s="12">
        <f t="shared" si="11"/>
        <v>0</v>
      </c>
      <c r="O40" s="2"/>
      <c r="P40" s="12">
        <v>50</v>
      </c>
    </row>
    <row r="41" spans="1:16" x14ac:dyDescent="0.25">
      <c r="A41" t="s">
        <v>48</v>
      </c>
      <c r="B41" t="s">
        <v>21</v>
      </c>
      <c r="C41" t="s">
        <v>22</v>
      </c>
      <c r="D41" s="12">
        <v>250</v>
      </c>
      <c r="E41" s="2"/>
      <c r="F41" s="37">
        <f t="shared" si="8"/>
        <v>0</v>
      </c>
      <c r="G41" s="2"/>
      <c r="H41" s="12">
        <f t="shared" si="9"/>
        <v>0</v>
      </c>
      <c r="I41" s="2"/>
      <c r="J41" s="12">
        <v>250</v>
      </c>
      <c r="K41" s="2"/>
      <c r="L41" s="13">
        <f t="shared" si="10"/>
        <v>0</v>
      </c>
      <c r="M41" s="2"/>
      <c r="N41" s="12">
        <f t="shared" si="11"/>
        <v>0</v>
      </c>
      <c r="O41" s="2"/>
      <c r="P41" s="12">
        <v>250</v>
      </c>
    </row>
    <row r="42" spans="1:16" x14ac:dyDescent="0.25">
      <c r="A42" t="s">
        <v>48</v>
      </c>
      <c r="B42" t="s">
        <v>23</v>
      </c>
      <c r="C42" t="s">
        <v>24</v>
      </c>
      <c r="D42" s="12">
        <v>140</v>
      </c>
      <c r="E42" s="2"/>
      <c r="F42" s="37">
        <f t="shared" si="8"/>
        <v>0</v>
      </c>
      <c r="G42" s="2"/>
      <c r="H42" s="12">
        <f t="shared" si="9"/>
        <v>0</v>
      </c>
      <c r="I42" s="2"/>
      <c r="J42" s="12">
        <v>140</v>
      </c>
      <c r="K42" s="2"/>
      <c r="L42" s="13">
        <f t="shared" si="10"/>
        <v>0</v>
      </c>
      <c r="M42" s="2"/>
      <c r="N42" s="12">
        <f t="shared" si="11"/>
        <v>0</v>
      </c>
      <c r="O42" s="2"/>
      <c r="P42" s="12">
        <v>140</v>
      </c>
    </row>
    <row r="43" spans="1:16" x14ac:dyDescent="0.25">
      <c r="D43" s="2"/>
      <c r="E43" s="2"/>
      <c r="F43" s="2"/>
      <c r="G43" s="2"/>
      <c r="H43" s="2"/>
      <c r="I43" s="2"/>
      <c r="J43" s="2"/>
      <c r="K43" s="2"/>
      <c r="M43" s="2"/>
      <c r="O43" s="2"/>
    </row>
    <row r="44" spans="1:16" x14ac:dyDescent="0.25">
      <c r="A44" t="s">
        <v>5</v>
      </c>
      <c r="B44" t="s">
        <v>5</v>
      </c>
      <c r="C44" s="1" t="s">
        <v>346</v>
      </c>
      <c r="D44" s="8">
        <f>SUM(D36:D42)</f>
        <v>1343</v>
      </c>
      <c r="E44" s="2"/>
      <c r="F44" s="29">
        <f>H44/J44</f>
        <v>0</v>
      </c>
      <c r="G44" s="2"/>
      <c r="H44" s="8">
        <f>SUM(H36:H42)</f>
        <v>0</v>
      </c>
      <c r="I44" s="2"/>
      <c r="J44" s="8">
        <f>SUM(J36:J42)</f>
        <v>1343</v>
      </c>
      <c r="K44" s="2"/>
      <c r="L44" s="15">
        <f>N44/P44</f>
        <v>2.2388059701492539E-3</v>
      </c>
      <c r="M44" s="2"/>
      <c r="N44" s="8">
        <f>SUM(N36:N42)</f>
        <v>3</v>
      </c>
      <c r="O44" s="2"/>
      <c r="P44" s="8">
        <f>SUM(P36:P42)</f>
        <v>1340</v>
      </c>
    </row>
    <row r="45" spans="1:16" x14ac:dyDescent="0.25">
      <c r="D45" s="2"/>
      <c r="E45" s="2"/>
      <c r="F45" s="2"/>
      <c r="G45" s="2"/>
      <c r="H45" s="2"/>
      <c r="I45" s="2"/>
      <c r="J45" s="2"/>
      <c r="K45" s="2"/>
      <c r="M45" s="2"/>
      <c r="O45" s="2"/>
    </row>
    <row r="46" spans="1:16" x14ac:dyDescent="0.25">
      <c r="A46" t="s">
        <v>50</v>
      </c>
      <c r="B46" t="s">
        <v>7</v>
      </c>
      <c r="C46" t="s">
        <v>49</v>
      </c>
      <c r="D46" s="12">
        <f>ROUNDUP((5249.52),0)</f>
        <v>5250</v>
      </c>
      <c r="E46" s="2"/>
      <c r="F46" s="37">
        <f t="shared" ref="F46:F53" si="12">H46/J46</f>
        <v>0</v>
      </c>
      <c r="G46" s="2"/>
      <c r="H46" s="12">
        <f t="shared" ref="H46:H53" si="13">D46-J46</f>
        <v>0</v>
      </c>
      <c r="I46" s="2"/>
      <c r="J46" s="12">
        <f>ROUNDUP((5249.52),0)</f>
        <v>5250</v>
      </c>
      <c r="K46" s="2"/>
      <c r="L46" s="13">
        <f>N46/P46</f>
        <v>0</v>
      </c>
      <c r="M46" s="2"/>
      <c r="N46" s="12">
        <f>J46-P46</f>
        <v>0</v>
      </c>
      <c r="O46" s="2"/>
      <c r="P46" s="12">
        <v>5250</v>
      </c>
    </row>
    <row r="47" spans="1:16" x14ac:dyDescent="0.25">
      <c r="A47" t="s">
        <v>50</v>
      </c>
      <c r="B47" t="s">
        <v>9</v>
      </c>
      <c r="C47" t="s">
        <v>10</v>
      </c>
      <c r="D47" s="12">
        <f>ROUNDUP((24.56),0)</f>
        <v>25</v>
      </c>
      <c r="E47" s="2"/>
      <c r="F47" s="37">
        <f t="shared" si="12"/>
        <v>0</v>
      </c>
      <c r="G47" s="2"/>
      <c r="H47" s="12">
        <f t="shared" si="13"/>
        <v>0</v>
      </c>
      <c r="I47" s="2"/>
      <c r="J47" s="12">
        <f>ROUNDUP((24.56),0)</f>
        <v>25</v>
      </c>
      <c r="K47" s="2"/>
      <c r="L47" s="13">
        <f t="shared" ref="L47:L53" si="14">N47/P47</f>
        <v>0.7857142857142857</v>
      </c>
      <c r="M47" s="2"/>
      <c r="N47" s="12">
        <f t="shared" ref="N47:N53" si="15">J47-P47</f>
        <v>11</v>
      </c>
      <c r="O47" s="2"/>
      <c r="P47" s="12">
        <v>14</v>
      </c>
    </row>
    <row r="48" spans="1:16" x14ac:dyDescent="0.25">
      <c r="A48" t="s">
        <v>50</v>
      </c>
      <c r="B48" t="s">
        <v>11</v>
      </c>
      <c r="C48" t="s">
        <v>12</v>
      </c>
      <c r="D48" s="12">
        <f>ROUNDUP((401.59),0)</f>
        <v>402</v>
      </c>
      <c r="E48" s="2"/>
      <c r="F48" s="37">
        <f t="shared" si="12"/>
        <v>0</v>
      </c>
      <c r="G48" s="2"/>
      <c r="H48" s="12">
        <f t="shared" si="13"/>
        <v>0</v>
      </c>
      <c r="I48" s="2"/>
      <c r="J48" s="12">
        <f>ROUNDUP((401.59),0)</f>
        <v>402</v>
      </c>
      <c r="K48" s="2"/>
      <c r="L48" s="13">
        <f t="shared" si="14"/>
        <v>0</v>
      </c>
      <c r="M48" s="2"/>
      <c r="N48" s="12">
        <f t="shared" si="15"/>
        <v>0</v>
      </c>
      <c r="O48" s="2"/>
      <c r="P48" s="12">
        <v>402</v>
      </c>
    </row>
    <row r="49" spans="1:17" x14ac:dyDescent="0.25">
      <c r="A49" t="s">
        <v>50</v>
      </c>
      <c r="B49" t="s">
        <v>13</v>
      </c>
      <c r="C49" t="s">
        <v>14</v>
      </c>
      <c r="D49" s="12">
        <v>250</v>
      </c>
      <c r="E49" s="2"/>
      <c r="F49" s="37">
        <f t="shared" si="12"/>
        <v>0</v>
      </c>
      <c r="G49" s="2"/>
      <c r="H49" s="12">
        <f t="shared" si="13"/>
        <v>0</v>
      </c>
      <c r="I49" s="2"/>
      <c r="J49" s="12">
        <v>250</v>
      </c>
      <c r="K49" s="2"/>
      <c r="L49" s="13">
        <f t="shared" si="14"/>
        <v>0</v>
      </c>
      <c r="M49" s="2"/>
      <c r="N49" s="12">
        <f t="shared" si="15"/>
        <v>0</v>
      </c>
      <c r="O49" s="2"/>
      <c r="P49" s="12">
        <v>250</v>
      </c>
    </row>
    <row r="50" spans="1:17" x14ac:dyDescent="0.25">
      <c r="A50" t="s">
        <v>50</v>
      </c>
      <c r="B50" t="s">
        <v>19</v>
      </c>
      <c r="C50" t="s">
        <v>20</v>
      </c>
      <c r="D50" s="12">
        <v>200</v>
      </c>
      <c r="E50" s="2"/>
      <c r="F50" s="37">
        <f t="shared" si="12"/>
        <v>0</v>
      </c>
      <c r="G50" s="2"/>
      <c r="H50" s="12">
        <f t="shared" si="13"/>
        <v>0</v>
      </c>
      <c r="I50" s="2"/>
      <c r="J50" s="12">
        <v>200</v>
      </c>
      <c r="K50" s="2"/>
      <c r="L50" s="13">
        <f t="shared" si="14"/>
        <v>0.33333333333333331</v>
      </c>
      <c r="M50" s="2"/>
      <c r="N50" s="12">
        <f t="shared" si="15"/>
        <v>50</v>
      </c>
      <c r="O50" s="2"/>
      <c r="P50" s="12">
        <v>150</v>
      </c>
    </row>
    <row r="51" spans="1:17" x14ac:dyDescent="0.25">
      <c r="A51" t="s">
        <v>50</v>
      </c>
      <c r="B51" t="s">
        <v>21</v>
      </c>
      <c r="C51" t="s">
        <v>22</v>
      </c>
      <c r="D51" s="12">
        <v>1000</v>
      </c>
      <c r="E51" s="2"/>
      <c r="F51" s="37">
        <f t="shared" si="12"/>
        <v>0</v>
      </c>
      <c r="G51" s="2"/>
      <c r="H51" s="12">
        <f t="shared" si="13"/>
        <v>0</v>
      </c>
      <c r="I51" s="2"/>
      <c r="J51" s="12">
        <v>1000</v>
      </c>
      <c r="K51" s="2"/>
      <c r="L51" s="13">
        <f t="shared" si="14"/>
        <v>0.33333333333333331</v>
      </c>
      <c r="M51" s="2"/>
      <c r="N51" s="12">
        <f t="shared" si="15"/>
        <v>250</v>
      </c>
      <c r="O51" s="2"/>
      <c r="P51" s="12">
        <v>750</v>
      </c>
    </row>
    <row r="52" spans="1:17" x14ac:dyDescent="0.25">
      <c r="A52" t="s">
        <v>50</v>
      </c>
      <c r="B52" t="s">
        <v>23</v>
      </c>
      <c r="C52" t="s">
        <v>24</v>
      </c>
      <c r="D52" s="12">
        <v>400</v>
      </c>
      <c r="E52" s="2"/>
      <c r="F52" s="37">
        <f t="shared" si="12"/>
        <v>0</v>
      </c>
      <c r="G52" s="2"/>
      <c r="H52" s="12">
        <f t="shared" si="13"/>
        <v>0</v>
      </c>
      <c r="I52" s="2"/>
      <c r="J52" s="12">
        <v>400</v>
      </c>
      <c r="K52" s="2"/>
      <c r="L52" s="13">
        <f t="shared" si="14"/>
        <v>0</v>
      </c>
      <c r="M52" s="2"/>
      <c r="N52" s="12">
        <f t="shared" si="15"/>
        <v>0</v>
      </c>
      <c r="O52" s="2"/>
      <c r="P52" s="12">
        <v>400</v>
      </c>
    </row>
    <row r="53" spans="1:17" x14ac:dyDescent="0.25">
      <c r="A53" t="s">
        <v>50</v>
      </c>
      <c r="B53" t="s">
        <v>51</v>
      </c>
      <c r="C53" t="s">
        <v>52</v>
      </c>
      <c r="D53" s="12">
        <v>25000</v>
      </c>
      <c r="E53" s="2"/>
      <c r="F53" s="37">
        <f t="shared" si="12"/>
        <v>0</v>
      </c>
      <c r="G53" s="2"/>
      <c r="H53" s="12">
        <f t="shared" si="13"/>
        <v>0</v>
      </c>
      <c r="I53" s="2"/>
      <c r="J53" s="12">
        <v>25000</v>
      </c>
      <c r="K53" s="2"/>
      <c r="L53" s="13">
        <f t="shared" si="14"/>
        <v>0</v>
      </c>
      <c r="M53" s="2"/>
      <c r="N53" s="12">
        <f t="shared" si="15"/>
        <v>0</v>
      </c>
      <c r="O53" s="2"/>
      <c r="P53" s="12">
        <f>15000+10000</f>
        <v>25000</v>
      </c>
    </row>
    <row r="54" spans="1:17" x14ac:dyDescent="0.25">
      <c r="D54" s="2"/>
      <c r="E54" s="2"/>
      <c r="F54" s="2"/>
      <c r="G54" s="2"/>
      <c r="H54" s="2"/>
      <c r="I54" s="2"/>
      <c r="J54" s="2"/>
      <c r="K54" s="2"/>
      <c r="M54" s="2"/>
      <c r="O54" s="2"/>
    </row>
    <row r="55" spans="1:17" x14ac:dyDescent="0.25">
      <c r="A55" t="s">
        <v>5</v>
      </c>
      <c r="B55" t="s">
        <v>5</v>
      </c>
      <c r="C55" s="1" t="s">
        <v>347</v>
      </c>
      <c r="D55" s="8">
        <f>SUM(D46:D53)</f>
        <v>32527</v>
      </c>
      <c r="E55" s="2"/>
      <c r="F55" s="15">
        <f>H55/J55</f>
        <v>0</v>
      </c>
      <c r="G55" s="2"/>
      <c r="H55" s="8">
        <f>SUM(H46:H53)</f>
        <v>0</v>
      </c>
      <c r="I55" s="2"/>
      <c r="J55" s="8">
        <f>SUM(J46:J53)</f>
        <v>32527</v>
      </c>
      <c r="K55" s="2"/>
      <c r="L55" s="15">
        <f>N55/P55</f>
        <v>9.6535882791159676E-3</v>
      </c>
      <c r="M55" s="2"/>
      <c r="N55" s="8">
        <f>SUM(N46:N53)</f>
        <v>311</v>
      </c>
      <c r="O55" s="2"/>
      <c r="P55" s="8">
        <f>SUM(P46:P53)</f>
        <v>32216</v>
      </c>
    </row>
    <row r="56" spans="1:17" x14ac:dyDescent="0.25">
      <c r="D56" s="2"/>
      <c r="E56" s="2"/>
      <c r="F56" s="2"/>
      <c r="G56" s="2"/>
      <c r="H56" s="2"/>
      <c r="I56" s="2"/>
      <c r="J56" s="2"/>
      <c r="K56" s="2"/>
      <c r="M56" s="2"/>
      <c r="O56" s="2"/>
    </row>
    <row r="57" spans="1:17" x14ac:dyDescent="0.25">
      <c r="A57" t="s">
        <v>53</v>
      </c>
      <c r="B57" t="s">
        <v>54</v>
      </c>
      <c r="C57" t="s">
        <v>55</v>
      </c>
      <c r="D57" s="12">
        <v>70000</v>
      </c>
      <c r="E57" s="2"/>
      <c r="F57" s="37">
        <f t="shared" ref="F57" si="16">H57/J57</f>
        <v>0</v>
      </c>
      <c r="G57" s="2"/>
      <c r="H57" s="12">
        <f t="shared" ref="H57" si="17">D57-J57</f>
        <v>0</v>
      </c>
      <c r="I57" s="2"/>
      <c r="J57" s="12">
        <v>70000</v>
      </c>
      <c r="K57" s="2"/>
      <c r="L57" s="13">
        <f>N57/P57</f>
        <v>0</v>
      </c>
      <c r="M57" s="2"/>
      <c r="N57" s="12">
        <f>J57-P57</f>
        <v>0</v>
      </c>
      <c r="O57" s="2"/>
      <c r="P57" s="12">
        <v>70000</v>
      </c>
    </row>
    <row r="58" spans="1:17" x14ac:dyDescent="0.25">
      <c r="D58" s="2"/>
      <c r="E58" s="2"/>
      <c r="F58" s="2"/>
      <c r="G58" s="2"/>
      <c r="H58" s="2"/>
      <c r="I58" s="2"/>
      <c r="J58" s="2"/>
      <c r="K58" s="2"/>
      <c r="M58" s="2"/>
      <c r="O58" s="2"/>
    </row>
    <row r="59" spans="1:17" x14ac:dyDescent="0.25">
      <c r="A59" t="s">
        <v>5</v>
      </c>
      <c r="B59" t="s">
        <v>5</v>
      </c>
      <c r="C59" s="1" t="s">
        <v>348</v>
      </c>
      <c r="D59" s="8">
        <f>SUM(D57)</f>
        <v>70000</v>
      </c>
      <c r="E59" s="2"/>
      <c r="F59" s="15">
        <f>H59/J59</f>
        <v>0</v>
      </c>
      <c r="G59" s="2"/>
      <c r="H59" s="8">
        <f>H57</f>
        <v>0</v>
      </c>
      <c r="I59" s="2"/>
      <c r="J59" s="8">
        <f>SUM(J57)</f>
        <v>70000</v>
      </c>
      <c r="K59" s="2"/>
      <c r="L59" s="15">
        <f>N59/P59</f>
        <v>0</v>
      </c>
      <c r="M59" s="2"/>
      <c r="N59" s="8">
        <f>SUM(N57)</f>
        <v>0</v>
      </c>
      <c r="O59" s="2"/>
      <c r="P59" s="8">
        <f>P57</f>
        <v>70000</v>
      </c>
    </row>
    <row r="60" spans="1:17" x14ac:dyDescent="0.25">
      <c r="D60" s="2"/>
      <c r="E60" s="2"/>
      <c r="F60" s="2"/>
      <c r="G60" s="2"/>
      <c r="H60" s="2"/>
      <c r="I60" s="2"/>
      <c r="J60" s="2"/>
      <c r="K60" s="2"/>
      <c r="M60" s="2"/>
      <c r="O60" s="2"/>
    </row>
    <row r="61" spans="1:17" x14ac:dyDescent="0.25">
      <c r="A61" t="s">
        <v>56</v>
      </c>
      <c r="B61" t="s">
        <v>57</v>
      </c>
      <c r="C61" t="s">
        <v>58</v>
      </c>
      <c r="D61" s="12">
        <f>ROUNDUP((64272),0)</f>
        <v>64272</v>
      </c>
      <c r="E61" s="2"/>
      <c r="F61" s="37">
        <f t="shared" ref="F61:F81" si="18">H61/J61</f>
        <v>0</v>
      </c>
      <c r="G61" s="2"/>
      <c r="H61" s="12">
        <f t="shared" ref="H61:H81" si="19">D61-J61</f>
        <v>0</v>
      </c>
      <c r="I61" s="2"/>
      <c r="J61" s="12">
        <v>64272</v>
      </c>
      <c r="K61" s="2"/>
      <c r="L61" s="13">
        <f>N61/P61</f>
        <v>0</v>
      </c>
      <c r="M61" s="2"/>
      <c r="N61" s="12">
        <f>J61-P61</f>
        <v>0</v>
      </c>
      <c r="O61" s="2"/>
      <c r="P61" s="12">
        <v>64272</v>
      </c>
    </row>
    <row r="62" spans="1:17" x14ac:dyDescent="0.25">
      <c r="A62" t="s">
        <v>56</v>
      </c>
      <c r="B62" t="s">
        <v>30</v>
      </c>
      <c r="C62" t="s">
        <v>31</v>
      </c>
      <c r="D62" s="12">
        <f>ROUNDUP((51903),0)</f>
        <v>51903</v>
      </c>
      <c r="E62" s="2"/>
      <c r="F62" s="37">
        <f t="shared" si="18"/>
        <v>-3.238255033557047E-2</v>
      </c>
      <c r="G62" s="2"/>
      <c r="H62" s="12">
        <f t="shared" si="19"/>
        <v>-1737</v>
      </c>
      <c r="I62" s="2"/>
      <c r="J62" s="12">
        <f>ROUNDUP((36999.25+16640),0)</f>
        <v>53640</v>
      </c>
      <c r="K62" s="2"/>
      <c r="L62" s="13">
        <f t="shared" ref="L62:L81" si="20">N62/P62</f>
        <v>0.38193997166044052</v>
      </c>
      <c r="M62" s="2"/>
      <c r="N62" s="12">
        <f t="shared" ref="N62:N81" si="21">J62-P62</f>
        <v>14825</v>
      </c>
      <c r="O62" s="2"/>
      <c r="P62" s="12">
        <v>38815</v>
      </c>
      <c r="Q62" t="s">
        <v>357</v>
      </c>
    </row>
    <row r="63" spans="1:17" x14ac:dyDescent="0.25">
      <c r="A63" t="s">
        <v>56</v>
      </c>
      <c r="B63" t="s">
        <v>59</v>
      </c>
      <c r="C63" t="s">
        <v>60</v>
      </c>
      <c r="D63" s="12">
        <f>ROUNDUP((10000),0)</f>
        <v>10000</v>
      </c>
      <c r="E63" s="2"/>
      <c r="F63" s="37">
        <f t="shared" si="18"/>
        <v>0</v>
      </c>
      <c r="G63" s="2"/>
      <c r="H63" s="12">
        <f t="shared" si="19"/>
        <v>0</v>
      </c>
      <c r="I63" s="2"/>
      <c r="J63" s="12">
        <v>10000</v>
      </c>
      <c r="K63" s="2"/>
      <c r="L63" s="13">
        <f t="shared" si="20"/>
        <v>0.25</v>
      </c>
      <c r="M63" s="2"/>
      <c r="N63" s="12">
        <f t="shared" si="21"/>
        <v>2000</v>
      </c>
      <c r="O63" s="2"/>
      <c r="P63" s="12">
        <v>8000</v>
      </c>
    </row>
    <row r="64" spans="1:17" x14ac:dyDescent="0.25">
      <c r="A64" t="s">
        <v>56</v>
      </c>
      <c r="B64" t="s">
        <v>61</v>
      </c>
      <c r="C64" t="s">
        <v>62</v>
      </c>
      <c r="D64" s="12">
        <f>ROUNDUP((2600),0)</f>
        <v>2600</v>
      </c>
      <c r="E64" s="2"/>
      <c r="F64" s="37">
        <f t="shared" si="18"/>
        <v>0</v>
      </c>
      <c r="G64" s="2"/>
      <c r="H64" s="12">
        <f t="shared" si="19"/>
        <v>0</v>
      </c>
      <c r="I64" s="2"/>
      <c r="J64" s="12">
        <v>2600</v>
      </c>
      <c r="K64" s="2"/>
      <c r="L64" s="13">
        <f t="shared" si="20"/>
        <v>0</v>
      </c>
      <c r="M64" s="2"/>
      <c r="N64" s="12">
        <f t="shared" si="21"/>
        <v>0</v>
      </c>
      <c r="O64" s="2"/>
      <c r="P64" s="12">
        <v>2600</v>
      </c>
    </row>
    <row r="65" spans="1:16" x14ac:dyDescent="0.25">
      <c r="A65" t="s">
        <v>56</v>
      </c>
      <c r="B65" t="s">
        <v>34</v>
      </c>
      <c r="C65" t="s">
        <v>35</v>
      </c>
      <c r="D65" s="12">
        <f>ROUNDUP((238.14),0)</f>
        <v>239</v>
      </c>
      <c r="E65" s="2"/>
      <c r="F65" s="37">
        <f t="shared" si="18"/>
        <v>0</v>
      </c>
      <c r="G65" s="2"/>
      <c r="H65" s="12">
        <f t="shared" si="19"/>
        <v>0</v>
      </c>
      <c r="I65" s="2"/>
      <c r="J65" s="12">
        <f>ROUNDUP((238.14),0)</f>
        <v>239</v>
      </c>
      <c r="K65" s="2"/>
      <c r="L65" s="13">
        <f t="shared" si="20"/>
        <v>0.28494623655913981</v>
      </c>
      <c r="M65" s="2"/>
      <c r="N65" s="12">
        <f t="shared" si="21"/>
        <v>53</v>
      </c>
      <c r="O65" s="2"/>
      <c r="P65" s="12">
        <v>186</v>
      </c>
    </row>
    <row r="66" spans="1:16" x14ac:dyDescent="0.25">
      <c r="A66" t="s">
        <v>56</v>
      </c>
      <c r="B66" t="s">
        <v>9</v>
      </c>
      <c r="C66" t="s">
        <v>10</v>
      </c>
      <c r="D66" s="12">
        <f>ROUNDUP((602.45),0)</f>
        <v>603</v>
      </c>
      <c r="E66" s="2"/>
      <c r="F66" s="37">
        <f t="shared" si="18"/>
        <v>-1.3093289689034371E-2</v>
      </c>
      <c r="G66" s="2"/>
      <c r="H66" s="12">
        <f t="shared" si="19"/>
        <v>-8</v>
      </c>
      <c r="I66" s="2"/>
      <c r="J66" s="12">
        <f>ROUNDUP((610.57),0)</f>
        <v>611</v>
      </c>
      <c r="K66" s="2"/>
      <c r="L66" s="13">
        <f t="shared" si="20"/>
        <v>0.86280487804878048</v>
      </c>
      <c r="M66" s="2"/>
      <c r="N66" s="12">
        <f t="shared" si="21"/>
        <v>283</v>
      </c>
      <c r="O66" s="2"/>
      <c r="P66" s="12">
        <v>328</v>
      </c>
    </row>
    <row r="67" spans="1:16" x14ac:dyDescent="0.25">
      <c r="A67" t="s">
        <v>56</v>
      </c>
      <c r="B67" t="s">
        <v>36</v>
      </c>
      <c r="C67" t="s">
        <v>37</v>
      </c>
      <c r="D67" s="12">
        <f>ROUNDUP((10329.67),0)</f>
        <v>10330</v>
      </c>
      <c r="E67" s="2"/>
      <c r="F67" s="37">
        <f t="shared" si="18"/>
        <v>0</v>
      </c>
      <c r="G67" s="2"/>
      <c r="H67" s="12">
        <f t="shared" si="19"/>
        <v>0</v>
      </c>
      <c r="I67" s="2"/>
      <c r="J67" s="12">
        <f>ROUNDUP((10329.67),0)</f>
        <v>10330</v>
      </c>
      <c r="K67" s="2"/>
      <c r="L67" s="13">
        <f t="shared" si="20"/>
        <v>1.0763209393346379E-2</v>
      </c>
      <c r="M67" s="2"/>
      <c r="N67" s="12">
        <f t="shared" si="21"/>
        <v>110</v>
      </c>
      <c r="O67" s="2"/>
      <c r="P67" s="12">
        <v>10220</v>
      </c>
    </row>
    <row r="68" spans="1:16" x14ac:dyDescent="0.25">
      <c r="A68" t="s">
        <v>56</v>
      </c>
      <c r="B68" t="s">
        <v>38</v>
      </c>
      <c r="C68" t="s">
        <v>39</v>
      </c>
      <c r="D68" s="12">
        <f>ROUNDUP((14985.12),0)</f>
        <v>14986</v>
      </c>
      <c r="E68" s="2"/>
      <c r="F68" s="37">
        <f t="shared" si="18"/>
        <v>0</v>
      </c>
      <c r="G68" s="2"/>
      <c r="H68" s="12">
        <f t="shared" si="19"/>
        <v>0</v>
      </c>
      <c r="I68" s="2"/>
      <c r="J68" s="12">
        <f>ROUNDUP((14985.12),0)</f>
        <v>14986</v>
      </c>
      <c r="K68" s="2"/>
      <c r="L68" s="13">
        <f t="shared" si="20"/>
        <v>-0.57863067622662734</v>
      </c>
      <c r="M68" s="2"/>
      <c r="N68" s="12">
        <f t="shared" si="21"/>
        <v>-20579</v>
      </c>
      <c r="O68" s="2"/>
      <c r="P68" s="12">
        <v>35565</v>
      </c>
    </row>
    <row r="69" spans="1:16" x14ac:dyDescent="0.25">
      <c r="A69" t="s">
        <v>56</v>
      </c>
      <c r="B69" t="s">
        <v>11</v>
      </c>
      <c r="C69" t="s">
        <v>12</v>
      </c>
      <c r="D69" s="12">
        <f>ROUNDUP((9851.25),0)</f>
        <v>9852</v>
      </c>
      <c r="E69" s="2"/>
      <c r="F69" s="37">
        <f t="shared" si="18"/>
        <v>-1.3319979969954933E-2</v>
      </c>
      <c r="G69" s="2"/>
      <c r="H69" s="12">
        <f t="shared" si="19"/>
        <v>-133</v>
      </c>
      <c r="I69" s="2"/>
      <c r="J69" s="12">
        <f>ROUNDUP((9984.11),0)</f>
        <v>9985</v>
      </c>
      <c r="K69" s="2"/>
      <c r="L69" s="13">
        <f t="shared" si="20"/>
        <v>0.1480970449580315</v>
      </c>
      <c r="M69" s="2"/>
      <c r="N69" s="12">
        <f t="shared" si="21"/>
        <v>1288</v>
      </c>
      <c r="O69" s="2"/>
      <c r="P69" s="12">
        <v>8697</v>
      </c>
    </row>
    <row r="70" spans="1:16" x14ac:dyDescent="0.25">
      <c r="A70" t="s">
        <v>56</v>
      </c>
      <c r="B70" t="s">
        <v>13</v>
      </c>
      <c r="C70" t="s">
        <v>14</v>
      </c>
      <c r="D70" s="12">
        <v>5300</v>
      </c>
      <c r="E70" s="2"/>
      <c r="F70" s="37">
        <f t="shared" si="18"/>
        <v>0</v>
      </c>
      <c r="G70" s="2"/>
      <c r="H70" s="12">
        <f t="shared" si="19"/>
        <v>0</v>
      </c>
      <c r="I70" s="2"/>
      <c r="J70" s="12">
        <v>5300</v>
      </c>
      <c r="K70" s="2"/>
      <c r="L70" s="13">
        <f t="shared" si="20"/>
        <v>1.65</v>
      </c>
      <c r="M70" s="2"/>
      <c r="N70" s="12">
        <f t="shared" si="21"/>
        <v>3300</v>
      </c>
      <c r="O70" s="2"/>
      <c r="P70" s="12">
        <v>2000</v>
      </c>
    </row>
    <row r="71" spans="1:16" x14ac:dyDescent="0.25">
      <c r="A71" t="s">
        <v>56</v>
      </c>
      <c r="B71" t="s">
        <v>19</v>
      </c>
      <c r="C71" t="s">
        <v>20</v>
      </c>
      <c r="D71" s="12">
        <v>4200</v>
      </c>
      <c r="E71" s="2"/>
      <c r="F71" s="37">
        <f t="shared" si="18"/>
        <v>0</v>
      </c>
      <c r="G71" s="2"/>
      <c r="H71" s="12">
        <f t="shared" si="19"/>
        <v>0</v>
      </c>
      <c r="I71" s="2"/>
      <c r="J71" s="12">
        <v>4200</v>
      </c>
      <c r="K71" s="2"/>
      <c r="L71" s="13">
        <f t="shared" si="20"/>
        <v>1.625</v>
      </c>
      <c r="M71" s="2"/>
      <c r="N71" s="12">
        <f t="shared" si="21"/>
        <v>2600</v>
      </c>
      <c r="O71" s="2"/>
      <c r="P71" s="12">
        <v>1600</v>
      </c>
    </row>
    <row r="72" spans="1:16" x14ac:dyDescent="0.25">
      <c r="A72" t="s">
        <v>56</v>
      </c>
      <c r="B72" t="s">
        <v>21</v>
      </c>
      <c r="C72" t="s">
        <v>22</v>
      </c>
      <c r="D72" s="12">
        <v>1800</v>
      </c>
      <c r="E72" s="2"/>
      <c r="F72" s="37">
        <f t="shared" si="18"/>
        <v>0</v>
      </c>
      <c r="G72" s="2"/>
      <c r="H72" s="12">
        <f t="shared" si="19"/>
        <v>0</v>
      </c>
      <c r="I72" s="2"/>
      <c r="J72" s="12">
        <f>1000+800</f>
        <v>1800</v>
      </c>
      <c r="K72" s="2"/>
      <c r="L72" s="13">
        <f t="shared" si="20"/>
        <v>1.25</v>
      </c>
      <c r="M72" s="2"/>
      <c r="N72" s="12">
        <f t="shared" si="21"/>
        <v>1000</v>
      </c>
      <c r="O72" s="2"/>
      <c r="P72" s="12">
        <v>800</v>
      </c>
    </row>
    <row r="73" spans="1:16" x14ac:dyDescent="0.25">
      <c r="A73" t="s">
        <v>56</v>
      </c>
      <c r="B73" t="s">
        <v>63</v>
      </c>
      <c r="C73" t="s">
        <v>64</v>
      </c>
      <c r="D73" s="12">
        <v>5200</v>
      </c>
      <c r="E73" s="2"/>
      <c r="F73" s="37">
        <f t="shared" si="18"/>
        <v>0</v>
      </c>
      <c r="G73" s="2"/>
      <c r="H73" s="12">
        <f t="shared" si="19"/>
        <v>0</v>
      </c>
      <c r="I73" s="2"/>
      <c r="J73" s="12">
        <v>5200</v>
      </c>
      <c r="K73" s="2"/>
      <c r="L73" s="13">
        <f t="shared" si="20"/>
        <v>0.92592592592592593</v>
      </c>
      <c r="M73" s="2"/>
      <c r="N73" s="12">
        <f t="shared" si="21"/>
        <v>2500</v>
      </c>
      <c r="O73" s="2"/>
      <c r="P73" s="12">
        <v>2700</v>
      </c>
    </row>
    <row r="74" spans="1:16" x14ac:dyDescent="0.25">
      <c r="A74" t="s">
        <v>56</v>
      </c>
      <c r="B74" t="s">
        <v>40</v>
      </c>
      <c r="C74" t="s">
        <v>41</v>
      </c>
      <c r="D74" s="12">
        <v>420</v>
      </c>
      <c r="E74" s="2"/>
      <c r="F74" s="37">
        <f t="shared" si="18"/>
        <v>0</v>
      </c>
      <c r="G74" s="2"/>
      <c r="H74" s="12">
        <f t="shared" si="19"/>
        <v>0</v>
      </c>
      <c r="I74" s="2"/>
      <c r="J74" s="12">
        <v>420</v>
      </c>
      <c r="K74" s="2"/>
      <c r="L74" s="13">
        <f t="shared" si="20"/>
        <v>0</v>
      </c>
      <c r="M74" s="2"/>
      <c r="N74" s="12">
        <f t="shared" si="21"/>
        <v>0</v>
      </c>
      <c r="O74" s="2"/>
      <c r="P74" s="12">
        <v>420</v>
      </c>
    </row>
    <row r="75" spans="1:16" x14ac:dyDescent="0.25">
      <c r="A75" t="s">
        <v>56</v>
      </c>
      <c r="B75" t="s">
        <v>23</v>
      </c>
      <c r="C75" t="s">
        <v>24</v>
      </c>
      <c r="D75" s="12">
        <v>2000</v>
      </c>
      <c r="E75" s="2"/>
      <c r="F75" s="37">
        <f t="shared" si="18"/>
        <v>0</v>
      </c>
      <c r="G75" s="2"/>
      <c r="H75" s="12">
        <f t="shared" si="19"/>
        <v>0</v>
      </c>
      <c r="I75" s="2"/>
      <c r="J75" s="12">
        <v>2000</v>
      </c>
      <c r="K75" s="2"/>
      <c r="L75" s="13">
        <f t="shared" si="20"/>
        <v>0.1111111111111111</v>
      </c>
      <c r="M75" s="2"/>
      <c r="N75" s="12">
        <f t="shared" si="21"/>
        <v>200</v>
      </c>
      <c r="O75" s="2"/>
      <c r="P75" s="12">
        <v>1800</v>
      </c>
    </row>
    <row r="76" spans="1:16" x14ac:dyDescent="0.25">
      <c r="A76" t="s">
        <v>56</v>
      </c>
      <c r="B76" t="s">
        <v>42</v>
      </c>
      <c r="C76" t="s">
        <v>43</v>
      </c>
      <c r="D76" s="12">
        <v>400</v>
      </c>
      <c r="E76" s="2"/>
      <c r="F76" s="37">
        <f t="shared" si="18"/>
        <v>0</v>
      </c>
      <c r="G76" s="2"/>
      <c r="H76" s="12">
        <f t="shared" si="19"/>
        <v>0</v>
      </c>
      <c r="I76" s="2"/>
      <c r="J76" s="12">
        <v>400</v>
      </c>
      <c r="K76" s="2"/>
      <c r="L76" s="13">
        <f t="shared" si="20"/>
        <v>0</v>
      </c>
      <c r="M76" s="2"/>
      <c r="N76" s="12">
        <f t="shared" si="21"/>
        <v>0</v>
      </c>
      <c r="O76" s="2"/>
      <c r="P76" s="12">
        <v>400</v>
      </c>
    </row>
    <row r="77" spans="1:16" x14ac:dyDescent="0.25">
      <c r="A77" t="s">
        <v>56</v>
      </c>
      <c r="B77" t="s">
        <v>65</v>
      </c>
      <c r="C77" t="s">
        <v>66</v>
      </c>
      <c r="D77" s="12">
        <v>1010</v>
      </c>
      <c r="E77" s="2"/>
      <c r="F77" s="37">
        <f t="shared" si="18"/>
        <v>0</v>
      </c>
      <c r="G77" s="2"/>
      <c r="H77" s="12">
        <f t="shared" si="19"/>
        <v>0</v>
      </c>
      <c r="I77" s="2"/>
      <c r="J77" s="12">
        <v>1010</v>
      </c>
      <c r="K77" s="2"/>
      <c r="L77" s="13">
        <f t="shared" si="20"/>
        <v>0</v>
      </c>
      <c r="M77" s="2"/>
      <c r="N77" s="12">
        <f t="shared" si="21"/>
        <v>0</v>
      </c>
      <c r="O77" s="2"/>
      <c r="P77" s="12">
        <v>1010</v>
      </c>
    </row>
    <row r="78" spans="1:16" x14ac:dyDescent="0.25">
      <c r="A78" t="s">
        <v>56</v>
      </c>
      <c r="B78" t="s">
        <v>44</v>
      </c>
      <c r="C78" t="s">
        <v>45</v>
      </c>
      <c r="D78" s="12">
        <v>450</v>
      </c>
      <c r="E78" s="2"/>
      <c r="F78" s="37">
        <f t="shared" si="18"/>
        <v>0</v>
      </c>
      <c r="G78" s="2"/>
      <c r="H78" s="12">
        <f t="shared" si="19"/>
        <v>0</v>
      </c>
      <c r="I78" s="2"/>
      <c r="J78" s="12">
        <v>450</v>
      </c>
      <c r="K78" s="2"/>
      <c r="L78" s="13">
        <f t="shared" si="20"/>
        <v>0</v>
      </c>
      <c r="M78" s="2"/>
      <c r="N78" s="12">
        <f t="shared" si="21"/>
        <v>0</v>
      </c>
      <c r="O78" s="2"/>
      <c r="P78" s="12">
        <v>450</v>
      </c>
    </row>
    <row r="79" spans="1:16" x14ac:dyDescent="0.25">
      <c r="A79" t="s">
        <v>56</v>
      </c>
      <c r="B79" t="s">
        <v>51</v>
      </c>
      <c r="C79" t="s">
        <v>52</v>
      </c>
      <c r="D79" s="12">
        <v>2260</v>
      </c>
      <c r="E79" s="2"/>
      <c r="F79" s="37">
        <f t="shared" si="18"/>
        <v>0</v>
      </c>
      <c r="G79" s="2"/>
      <c r="H79" s="12">
        <f t="shared" si="19"/>
        <v>0</v>
      </c>
      <c r="I79" s="2"/>
      <c r="J79" s="12">
        <v>2260</v>
      </c>
      <c r="K79" s="2"/>
      <c r="L79" s="13">
        <f t="shared" si="20"/>
        <v>0.79365079365079361</v>
      </c>
      <c r="M79" s="2"/>
      <c r="N79" s="12">
        <f t="shared" si="21"/>
        <v>1000</v>
      </c>
      <c r="O79" s="2"/>
      <c r="P79" s="12">
        <v>1260</v>
      </c>
    </row>
    <row r="80" spans="1:16" x14ac:dyDescent="0.25">
      <c r="A80" t="s">
        <v>56</v>
      </c>
      <c r="B80" t="s">
        <v>67</v>
      </c>
      <c r="C80" t="s">
        <v>68</v>
      </c>
      <c r="D80" s="12">
        <v>10450</v>
      </c>
      <c r="E80" s="2"/>
      <c r="F80" s="37">
        <f t="shared" si="18"/>
        <v>0</v>
      </c>
      <c r="G80" s="2"/>
      <c r="H80" s="12">
        <f t="shared" si="19"/>
        <v>0</v>
      </c>
      <c r="I80" s="2"/>
      <c r="J80" s="12">
        <v>10450</v>
      </c>
      <c r="K80" s="2"/>
      <c r="L80" s="13">
        <f t="shared" si="20"/>
        <v>0</v>
      </c>
      <c r="M80" s="2"/>
      <c r="N80" s="12">
        <f t="shared" si="21"/>
        <v>0</v>
      </c>
      <c r="O80" s="2"/>
      <c r="P80" s="12">
        <v>10450</v>
      </c>
    </row>
    <row r="81" spans="1:17" x14ac:dyDescent="0.25">
      <c r="A81" t="s">
        <v>56</v>
      </c>
      <c r="B81" t="s">
        <v>69</v>
      </c>
      <c r="C81" t="s">
        <v>70</v>
      </c>
      <c r="D81" s="12">
        <v>2800</v>
      </c>
      <c r="E81" s="2"/>
      <c r="F81" s="37">
        <f t="shared" si="18"/>
        <v>0</v>
      </c>
      <c r="G81" s="2"/>
      <c r="H81" s="12">
        <f t="shared" si="19"/>
        <v>0</v>
      </c>
      <c r="I81" s="2"/>
      <c r="J81" s="12">
        <v>2800</v>
      </c>
      <c r="K81" s="2"/>
      <c r="L81" s="13">
        <f t="shared" si="20"/>
        <v>0</v>
      </c>
      <c r="M81" s="2"/>
      <c r="N81" s="12">
        <f t="shared" si="21"/>
        <v>0</v>
      </c>
      <c r="O81" s="2"/>
      <c r="P81" s="12">
        <v>2800</v>
      </c>
    </row>
    <row r="82" spans="1:17" x14ac:dyDescent="0.25">
      <c r="D82" s="2"/>
      <c r="E82" s="2"/>
      <c r="F82" s="2"/>
      <c r="G82" s="2"/>
      <c r="H82" s="2"/>
      <c r="I82" s="2"/>
      <c r="J82" s="2"/>
      <c r="K82" s="2"/>
      <c r="M82" s="2"/>
      <c r="O82" s="2"/>
    </row>
    <row r="83" spans="1:17" x14ac:dyDescent="0.25">
      <c r="A83" t="s">
        <v>5</v>
      </c>
      <c r="B83" t="s">
        <v>5</v>
      </c>
      <c r="C83" s="1" t="s">
        <v>349</v>
      </c>
      <c r="D83" s="8">
        <f>SUM(D61:D81)</f>
        <v>201075</v>
      </c>
      <c r="E83" s="2"/>
      <c r="F83" s="15">
        <f>H83/J83</f>
        <v>-9.2533739338664621E-3</v>
      </c>
      <c r="G83" s="2"/>
      <c r="H83" s="8">
        <f>SUM(H61:H81)</f>
        <v>-1878</v>
      </c>
      <c r="I83" s="2"/>
      <c r="J83" s="8">
        <f>SUM(J61:J81)</f>
        <v>202953</v>
      </c>
      <c r="K83" s="2"/>
      <c r="L83" s="15">
        <f>N83/P83</f>
        <v>4.4141933293204302E-2</v>
      </c>
      <c r="M83" s="2"/>
      <c r="N83" s="8">
        <f>SUM(N61:N81)</f>
        <v>8580</v>
      </c>
      <c r="O83" s="2"/>
      <c r="P83" s="8">
        <f>SUM(P61:P81)</f>
        <v>194373</v>
      </c>
    </row>
    <row r="84" spans="1:17" x14ac:dyDescent="0.25">
      <c r="D84" s="2"/>
      <c r="E84" s="2"/>
      <c r="F84" s="2"/>
      <c r="G84" s="2"/>
      <c r="H84" s="2"/>
      <c r="I84" s="2"/>
      <c r="J84" s="2"/>
      <c r="K84" s="2"/>
      <c r="M84" s="2"/>
      <c r="O84" s="2"/>
    </row>
    <row r="85" spans="1:17" x14ac:dyDescent="0.25">
      <c r="A85" t="s">
        <v>73</v>
      </c>
      <c r="B85" t="s">
        <v>57</v>
      </c>
      <c r="C85" t="s">
        <v>58</v>
      </c>
      <c r="D85" s="12">
        <f>ROUNDUP((90280.74),0)</f>
        <v>90281</v>
      </c>
      <c r="E85" s="2"/>
      <c r="F85" s="37">
        <f t="shared" ref="F85:F99" si="22">H85/J85</f>
        <v>0</v>
      </c>
      <c r="G85" s="2"/>
      <c r="H85" s="12">
        <f t="shared" ref="H85:H99" si="23">D85-J85</f>
        <v>0</v>
      </c>
      <c r="I85" s="2"/>
      <c r="J85" s="12">
        <f>ROUNDUP((90280.74),0)</f>
        <v>90281</v>
      </c>
      <c r="K85" s="2"/>
      <c r="L85" s="13">
        <f t="shared" ref="L85:L99" si="24">N85/P85</f>
        <v>3.0064121579992241E-2</v>
      </c>
      <c r="M85" s="2"/>
      <c r="N85" s="12">
        <f t="shared" ref="N85:N99" si="25">J85-P85</f>
        <v>2635</v>
      </c>
      <c r="O85" s="2"/>
      <c r="P85" s="12">
        <v>87646</v>
      </c>
      <c r="Q85" t="s">
        <v>355</v>
      </c>
    </row>
    <row r="86" spans="1:17" x14ac:dyDescent="0.25">
      <c r="A86" t="s">
        <v>73</v>
      </c>
      <c r="B86" t="s">
        <v>30</v>
      </c>
      <c r="C86" t="s">
        <v>31</v>
      </c>
      <c r="D86" s="12">
        <f>ROUNDUP((94163.58),0)</f>
        <v>94164</v>
      </c>
      <c r="E86" s="2"/>
      <c r="F86" s="37">
        <f t="shared" si="22"/>
        <v>8.0841588136040685E-2</v>
      </c>
      <c r="G86" s="2"/>
      <c r="H86" s="12">
        <f t="shared" si="23"/>
        <v>7043</v>
      </c>
      <c r="I86" s="2"/>
      <c r="J86" s="12">
        <f>ROUNDUP((34160.57+52960.13),0)</f>
        <v>87121</v>
      </c>
      <c r="K86" s="2"/>
      <c r="L86" s="13">
        <f t="shared" si="24"/>
        <v>3.2373887591984736E-2</v>
      </c>
      <c r="M86" s="2"/>
      <c r="N86" s="12">
        <f t="shared" si="25"/>
        <v>2732</v>
      </c>
      <c r="O86" s="2"/>
      <c r="P86" s="12">
        <v>84389</v>
      </c>
      <c r="Q86" t="s">
        <v>424</v>
      </c>
    </row>
    <row r="87" spans="1:17" x14ac:dyDescent="0.25">
      <c r="A87" t="s">
        <v>73</v>
      </c>
      <c r="B87" t="s">
        <v>61</v>
      </c>
      <c r="C87" t="s">
        <v>62</v>
      </c>
      <c r="D87" s="12">
        <v>1500</v>
      </c>
      <c r="E87" s="2"/>
      <c r="F87" s="37">
        <f t="shared" si="22"/>
        <v>0</v>
      </c>
      <c r="G87" s="2"/>
      <c r="H87" s="12">
        <f t="shared" si="23"/>
        <v>0</v>
      </c>
      <c r="I87" s="2"/>
      <c r="J87" s="12">
        <v>1500</v>
      </c>
      <c r="K87" s="2"/>
      <c r="L87" s="13">
        <f t="shared" si="24"/>
        <v>2</v>
      </c>
      <c r="M87" s="2"/>
      <c r="N87" s="12">
        <f t="shared" si="25"/>
        <v>1000</v>
      </c>
      <c r="O87" s="2"/>
      <c r="P87" s="12">
        <v>500</v>
      </c>
    </row>
    <row r="88" spans="1:17" x14ac:dyDescent="0.25">
      <c r="A88" t="s">
        <v>73</v>
      </c>
      <c r="B88" t="s">
        <v>34</v>
      </c>
      <c r="C88" t="s">
        <v>35</v>
      </c>
      <c r="D88" s="12">
        <f>ROUNDUP((176.4),0)</f>
        <v>177</v>
      </c>
      <c r="E88" s="2"/>
      <c r="F88" s="37">
        <f t="shared" si="22"/>
        <v>0</v>
      </c>
      <c r="G88" s="2"/>
      <c r="H88" s="12">
        <f t="shared" si="23"/>
        <v>0</v>
      </c>
      <c r="I88" s="2"/>
      <c r="J88" s="12">
        <f>ROUNDUP((176.4),0)</f>
        <v>177</v>
      </c>
      <c r="K88" s="2"/>
      <c r="L88" s="13">
        <f t="shared" si="24"/>
        <v>-0.20982142857142858</v>
      </c>
      <c r="M88" s="2"/>
      <c r="N88" s="12">
        <f t="shared" si="25"/>
        <v>-47</v>
      </c>
      <c r="O88" s="2"/>
      <c r="P88" s="12">
        <v>224</v>
      </c>
    </row>
    <row r="89" spans="1:17" x14ac:dyDescent="0.25">
      <c r="A89" t="s">
        <v>73</v>
      </c>
      <c r="B89" t="s">
        <v>9</v>
      </c>
      <c r="C89" t="s">
        <v>10</v>
      </c>
      <c r="D89" s="12">
        <f>ROUNDUP((869.89),0)</f>
        <v>870</v>
      </c>
      <c r="E89" s="2"/>
      <c r="F89" s="37">
        <f t="shared" si="22"/>
        <v>3.9426523297491037E-2</v>
      </c>
      <c r="G89" s="2"/>
      <c r="H89" s="12">
        <f t="shared" si="23"/>
        <v>33</v>
      </c>
      <c r="I89" s="2"/>
      <c r="J89" s="12">
        <f>ROUNDUP((836.96),0)</f>
        <v>837</v>
      </c>
      <c r="K89" s="2"/>
      <c r="L89" s="13">
        <f t="shared" si="24"/>
        <v>0.95560747663551404</v>
      </c>
      <c r="M89" s="2"/>
      <c r="N89" s="12">
        <f t="shared" si="25"/>
        <v>409</v>
      </c>
      <c r="O89" s="2"/>
      <c r="P89" s="12">
        <v>428</v>
      </c>
    </row>
    <row r="90" spans="1:17" x14ac:dyDescent="0.25">
      <c r="A90" t="s">
        <v>73</v>
      </c>
      <c r="B90" t="s">
        <v>36</v>
      </c>
      <c r="C90" t="s">
        <v>37</v>
      </c>
      <c r="D90" s="12">
        <f>ROUNDUP((18813.01),0)</f>
        <v>18814</v>
      </c>
      <c r="E90" s="2"/>
      <c r="F90" s="37">
        <f t="shared" si="22"/>
        <v>3.9734733351754627E-2</v>
      </c>
      <c r="G90" s="2"/>
      <c r="H90" s="12">
        <f t="shared" si="23"/>
        <v>719</v>
      </c>
      <c r="I90" s="2"/>
      <c r="J90" s="12">
        <f>ROUNDUP((18094.95),0)</f>
        <v>18095</v>
      </c>
      <c r="K90" s="2"/>
      <c r="L90" s="13">
        <f t="shared" si="24"/>
        <v>3.1171643492135855E-2</v>
      </c>
      <c r="M90" s="2"/>
      <c r="N90" s="12">
        <f t="shared" si="25"/>
        <v>547</v>
      </c>
      <c r="O90" s="2"/>
      <c r="P90" s="12">
        <v>17548</v>
      </c>
    </row>
    <row r="91" spans="1:17" x14ac:dyDescent="0.25">
      <c r="A91" t="s">
        <v>73</v>
      </c>
      <c r="B91" t="s">
        <v>38</v>
      </c>
      <c r="C91" t="s">
        <v>39</v>
      </c>
      <c r="D91" s="12">
        <f>ROUNDUP((51582.68),0)</f>
        <v>51583</v>
      </c>
      <c r="E91" s="2"/>
      <c r="F91" s="37">
        <f t="shared" si="22"/>
        <v>0</v>
      </c>
      <c r="G91" s="2"/>
      <c r="H91" s="12">
        <f t="shared" si="23"/>
        <v>0</v>
      </c>
      <c r="I91" s="2"/>
      <c r="J91" s="12">
        <f>ROUNDUP((51582.68),0)</f>
        <v>51583</v>
      </c>
      <c r="K91" s="2"/>
      <c r="L91" s="13">
        <f t="shared" si="24"/>
        <v>0.10586343659556223</v>
      </c>
      <c r="M91" s="2"/>
      <c r="N91" s="12">
        <f t="shared" si="25"/>
        <v>4938</v>
      </c>
      <c r="O91" s="2"/>
      <c r="P91" s="12">
        <v>46645</v>
      </c>
    </row>
    <row r="92" spans="1:17" x14ac:dyDescent="0.25">
      <c r="A92" t="s">
        <v>73</v>
      </c>
      <c r="B92" t="s">
        <v>11</v>
      </c>
      <c r="C92" t="s">
        <v>12</v>
      </c>
      <c r="D92" s="12">
        <f>ROUNDUP((14224.51),0)</f>
        <v>14225</v>
      </c>
      <c r="E92" s="2"/>
      <c r="F92" s="37">
        <f t="shared" si="22"/>
        <v>3.9383311413122901E-2</v>
      </c>
      <c r="G92" s="2"/>
      <c r="H92" s="12">
        <f t="shared" si="23"/>
        <v>539</v>
      </c>
      <c r="I92" s="2"/>
      <c r="J92" s="12">
        <f>ROUNDUP((13685.96),0)</f>
        <v>13686</v>
      </c>
      <c r="K92" s="2"/>
      <c r="L92" s="13">
        <f t="shared" si="24"/>
        <v>3.6896734601106145E-2</v>
      </c>
      <c r="M92" s="2"/>
      <c r="N92" s="12">
        <f t="shared" si="25"/>
        <v>487</v>
      </c>
      <c r="O92" s="2"/>
      <c r="P92" s="12">
        <v>13199</v>
      </c>
    </row>
    <row r="93" spans="1:17" x14ac:dyDescent="0.25">
      <c r="A93" t="s">
        <v>73</v>
      </c>
      <c r="B93" t="s">
        <v>13</v>
      </c>
      <c r="C93" t="s">
        <v>14</v>
      </c>
      <c r="D93" s="12">
        <v>3000</v>
      </c>
      <c r="E93" s="2"/>
      <c r="F93" s="37">
        <f t="shared" si="22"/>
        <v>0</v>
      </c>
      <c r="G93" s="2"/>
      <c r="H93" s="12">
        <f t="shared" si="23"/>
        <v>0</v>
      </c>
      <c r="I93" s="2"/>
      <c r="J93" s="12">
        <v>3000</v>
      </c>
      <c r="K93" s="2"/>
      <c r="L93" s="13">
        <f t="shared" si="24"/>
        <v>0</v>
      </c>
      <c r="M93" s="2"/>
      <c r="N93" s="12">
        <f t="shared" si="25"/>
        <v>0</v>
      </c>
      <c r="O93" s="2"/>
      <c r="P93" s="12">
        <v>3000</v>
      </c>
    </row>
    <row r="94" spans="1:17" x14ac:dyDescent="0.25">
      <c r="A94" t="s">
        <v>73</v>
      </c>
      <c r="B94" t="s">
        <v>19</v>
      </c>
      <c r="C94" t="s">
        <v>20</v>
      </c>
      <c r="D94" s="12">
        <v>1000</v>
      </c>
      <c r="E94" s="2"/>
      <c r="F94" s="37">
        <f t="shared" si="22"/>
        <v>0</v>
      </c>
      <c r="G94" s="2"/>
      <c r="H94" s="12">
        <f t="shared" si="23"/>
        <v>0</v>
      </c>
      <c r="I94" s="2"/>
      <c r="J94" s="12">
        <v>1000</v>
      </c>
      <c r="K94" s="2"/>
      <c r="L94" s="13">
        <f t="shared" si="24"/>
        <v>0.25</v>
      </c>
      <c r="M94" s="2"/>
      <c r="N94" s="12">
        <f t="shared" si="25"/>
        <v>200</v>
      </c>
      <c r="O94" s="2"/>
      <c r="P94" s="12">
        <v>800</v>
      </c>
    </row>
    <row r="95" spans="1:17" x14ac:dyDescent="0.25">
      <c r="A95" t="s">
        <v>73</v>
      </c>
      <c r="B95" t="s">
        <v>40</v>
      </c>
      <c r="C95" t="s">
        <v>41</v>
      </c>
      <c r="D95" s="12">
        <v>420</v>
      </c>
      <c r="E95" s="2"/>
      <c r="F95" s="37">
        <f t="shared" si="22"/>
        <v>0</v>
      </c>
      <c r="G95" s="2"/>
      <c r="H95" s="12">
        <f t="shared" si="23"/>
        <v>0</v>
      </c>
      <c r="I95" s="2"/>
      <c r="J95" s="12">
        <v>420</v>
      </c>
      <c r="K95" s="2"/>
      <c r="L95" s="13">
        <f t="shared" si="24"/>
        <v>0</v>
      </c>
      <c r="M95" s="2"/>
      <c r="N95" s="12">
        <f t="shared" si="25"/>
        <v>0</v>
      </c>
      <c r="O95" s="2"/>
      <c r="P95" s="12">
        <v>420</v>
      </c>
    </row>
    <row r="96" spans="1:17" x14ac:dyDescent="0.25">
      <c r="A96" t="s">
        <v>73</v>
      </c>
      <c r="B96" t="s">
        <v>23</v>
      </c>
      <c r="C96" t="s">
        <v>24</v>
      </c>
      <c r="D96" s="12">
        <v>4400</v>
      </c>
      <c r="E96" s="2"/>
      <c r="F96" s="37">
        <f t="shared" si="22"/>
        <v>0</v>
      </c>
      <c r="G96" s="2"/>
      <c r="H96" s="12">
        <f t="shared" si="23"/>
        <v>0</v>
      </c>
      <c r="I96" s="2"/>
      <c r="J96" s="12">
        <v>4400</v>
      </c>
      <c r="K96" s="2"/>
      <c r="L96" s="13">
        <f t="shared" si="24"/>
        <v>0</v>
      </c>
      <c r="M96" s="2"/>
      <c r="N96" s="12">
        <f t="shared" si="25"/>
        <v>0</v>
      </c>
      <c r="O96" s="2"/>
      <c r="P96" s="12">
        <v>4400</v>
      </c>
    </row>
    <row r="97" spans="1:17" x14ac:dyDescent="0.25">
      <c r="A97" t="s">
        <v>73</v>
      </c>
      <c r="B97" t="s">
        <v>42</v>
      </c>
      <c r="C97" t="s">
        <v>43</v>
      </c>
      <c r="D97" s="12">
        <v>500</v>
      </c>
      <c r="E97" s="2"/>
      <c r="F97" s="37">
        <f t="shared" si="22"/>
        <v>0</v>
      </c>
      <c r="G97" s="2"/>
      <c r="H97" s="12">
        <f t="shared" si="23"/>
        <v>0</v>
      </c>
      <c r="I97" s="2"/>
      <c r="J97" s="12">
        <v>500</v>
      </c>
      <c r="K97" s="2"/>
      <c r="L97" s="13">
        <f t="shared" si="24"/>
        <v>0</v>
      </c>
      <c r="M97" s="2"/>
      <c r="N97" s="12">
        <f t="shared" si="25"/>
        <v>0</v>
      </c>
      <c r="O97" s="2"/>
      <c r="P97" s="12">
        <v>500</v>
      </c>
    </row>
    <row r="98" spans="1:17" x14ac:dyDescent="0.25">
      <c r="A98" t="s">
        <v>73</v>
      </c>
      <c r="B98" t="s">
        <v>44</v>
      </c>
      <c r="C98" t="s">
        <v>45</v>
      </c>
      <c r="D98" s="12">
        <v>1000</v>
      </c>
      <c r="E98" s="2"/>
      <c r="F98" s="37">
        <f t="shared" si="22"/>
        <v>0</v>
      </c>
      <c r="G98" s="2"/>
      <c r="H98" s="12">
        <f t="shared" si="23"/>
        <v>0</v>
      </c>
      <c r="I98" s="2"/>
      <c r="J98" s="12">
        <v>1000</v>
      </c>
      <c r="K98" s="2"/>
      <c r="L98" s="13">
        <f t="shared" si="24"/>
        <v>1</v>
      </c>
      <c r="M98" s="2"/>
      <c r="N98" s="12">
        <f t="shared" si="25"/>
        <v>500</v>
      </c>
      <c r="O98" s="2"/>
      <c r="P98" s="12">
        <v>500</v>
      </c>
    </row>
    <row r="99" spans="1:17" x14ac:dyDescent="0.25">
      <c r="A99" t="s">
        <v>73</v>
      </c>
      <c r="B99" t="s">
        <v>51</v>
      </c>
      <c r="C99" t="s">
        <v>52</v>
      </c>
      <c r="D99" s="12">
        <v>1636</v>
      </c>
      <c r="E99" s="2"/>
      <c r="F99" s="37">
        <f t="shared" si="22"/>
        <v>0</v>
      </c>
      <c r="G99" s="2"/>
      <c r="H99" s="12">
        <f t="shared" si="23"/>
        <v>0</v>
      </c>
      <c r="I99" s="2"/>
      <c r="J99" s="12">
        <v>1636</v>
      </c>
      <c r="K99" s="2"/>
      <c r="L99" s="13">
        <f t="shared" si="24"/>
        <v>0</v>
      </c>
      <c r="M99" s="2"/>
      <c r="N99" s="12">
        <f t="shared" si="25"/>
        <v>0</v>
      </c>
      <c r="O99" s="2"/>
      <c r="P99" s="12">
        <v>1636</v>
      </c>
    </row>
    <row r="100" spans="1:17" x14ac:dyDescent="0.25">
      <c r="D100" s="2"/>
      <c r="E100" s="2"/>
      <c r="F100" s="2"/>
      <c r="G100" s="2"/>
      <c r="H100" s="2"/>
      <c r="I100" s="2"/>
      <c r="J100" s="2"/>
      <c r="K100" s="2"/>
      <c r="M100" s="2"/>
      <c r="O100" s="2"/>
    </row>
    <row r="101" spans="1:17" x14ac:dyDescent="0.25">
      <c r="A101" t="s">
        <v>5</v>
      </c>
      <c r="B101" t="s">
        <v>5</v>
      </c>
      <c r="C101" s="1" t="s">
        <v>350</v>
      </c>
      <c r="D101" s="8">
        <f>SUM(D85:D99)</f>
        <v>283570</v>
      </c>
      <c r="E101" s="2"/>
      <c r="F101" s="15">
        <f>H101/J101</f>
        <v>3.02794692554753E-2</v>
      </c>
      <c r="G101" s="2"/>
      <c r="H101" s="8">
        <f>SUM(H85:H99)</f>
        <v>8334</v>
      </c>
      <c r="I101" s="2"/>
      <c r="J101" s="8">
        <f>SUM(J85:J99)</f>
        <v>275236</v>
      </c>
      <c r="K101" s="2"/>
      <c r="L101" s="15">
        <f>N101/P101</f>
        <v>5.1181087325987737E-2</v>
      </c>
      <c r="M101" s="2"/>
      <c r="N101" s="8">
        <f>SUM(N85:N99)</f>
        <v>13401</v>
      </c>
      <c r="O101" s="2"/>
      <c r="P101" s="8">
        <f>SUM(P85:P99)</f>
        <v>261835</v>
      </c>
    </row>
    <row r="102" spans="1:17" x14ac:dyDescent="0.25">
      <c r="D102" s="2"/>
      <c r="E102" s="2"/>
      <c r="F102" s="2"/>
      <c r="G102" s="2"/>
      <c r="H102" s="2"/>
      <c r="I102" s="2"/>
      <c r="J102" s="2"/>
      <c r="K102" s="2"/>
      <c r="M102" s="2"/>
      <c r="O102" s="2"/>
    </row>
    <row r="103" spans="1:17" x14ac:dyDescent="0.25">
      <c r="A103" t="s">
        <v>74</v>
      </c>
      <c r="B103" s="20" t="s">
        <v>57</v>
      </c>
      <c r="C103" t="s">
        <v>58</v>
      </c>
      <c r="D103" s="12">
        <v>70000</v>
      </c>
      <c r="E103" s="2"/>
      <c r="F103" s="37">
        <f t="shared" ref="F103:F115" si="26">H103/J103</f>
        <v>0</v>
      </c>
      <c r="G103" s="2"/>
      <c r="H103" s="12">
        <f t="shared" ref="H103:H115" si="27">D103-J103</f>
        <v>0</v>
      </c>
      <c r="I103" s="2"/>
      <c r="J103" s="16">
        <v>70000</v>
      </c>
      <c r="K103" s="2"/>
      <c r="L103" s="13">
        <v>1</v>
      </c>
      <c r="M103" s="2"/>
      <c r="N103" s="12">
        <f>J103-P103</f>
        <v>70000</v>
      </c>
      <c r="O103" s="2"/>
      <c r="P103" s="12">
        <v>0</v>
      </c>
      <c r="Q103" t="s">
        <v>354</v>
      </c>
    </row>
    <row r="104" spans="1:17" x14ac:dyDescent="0.25">
      <c r="A104" t="s">
        <v>74</v>
      </c>
      <c r="B104" t="s">
        <v>30</v>
      </c>
      <c r="C104" t="s">
        <v>31</v>
      </c>
      <c r="D104" s="12">
        <f>ROUNDUP((120938.48),0)</f>
        <v>120939</v>
      </c>
      <c r="E104" s="2"/>
      <c r="F104" s="37">
        <f t="shared" si="26"/>
        <v>0</v>
      </c>
      <c r="G104" s="2"/>
      <c r="H104" s="12">
        <f t="shared" si="27"/>
        <v>0</v>
      </c>
      <c r="I104" s="2"/>
      <c r="J104" s="12">
        <f>ROUNDUP((120938.48),0)</f>
        <v>120939</v>
      </c>
      <c r="K104" s="2"/>
      <c r="L104" s="13">
        <f t="shared" ref="L104:L115" si="28">N104/P104</f>
        <v>2.9925484351713862E-2</v>
      </c>
      <c r="M104" s="2"/>
      <c r="N104" s="12">
        <f>J104-P104</f>
        <v>3514</v>
      </c>
      <c r="O104" s="2"/>
      <c r="P104" s="12">
        <v>117425</v>
      </c>
      <c r="Q104" t="s">
        <v>355</v>
      </c>
    </row>
    <row r="105" spans="1:17" x14ac:dyDescent="0.25">
      <c r="A105" t="s">
        <v>74</v>
      </c>
      <c r="B105" t="s">
        <v>61</v>
      </c>
      <c r="C105" t="s">
        <v>75</v>
      </c>
      <c r="D105" s="12">
        <v>2500</v>
      </c>
      <c r="E105" s="2"/>
      <c r="F105" s="37">
        <f t="shared" si="26"/>
        <v>0</v>
      </c>
      <c r="G105" s="2"/>
      <c r="H105" s="12">
        <f t="shared" si="27"/>
        <v>0</v>
      </c>
      <c r="I105" s="2"/>
      <c r="J105" s="12">
        <v>2500</v>
      </c>
      <c r="K105" s="2"/>
      <c r="L105" s="13">
        <f t="shared" si="28"/>
        <v>0</v>
      </c>
      <c r="M105" s="2"/>
      <c r="N105" s="12">
        <f t="shared" ref="N105:N115" si="29">J105-P105</f>
        <v>0</v>
      </c>
      <c r="O105" s="2"/>
      <c r="P105" s="12">
        <v>2500</v>
      </c>
    </row>
    <row r="106" spans="1:17" x14ac:dyDescent="0.25">
      <c r="A106" t="s">
        <v>74</v>
      </c>
      <c r="B106" t="s">
        <v>34</v>
      </c>
      <c r="C106" t="s">
        <v>35</v>
      </c>
      <c r="D106" s="12">
        <f>ROUNDUP((235.2),0)</f>
        <v>236</v>
      </c>
      <c r="E106" s="2"/>
      <c r="F106" s="37">
        <f t="shared" si="26"/>
        <v>0</v>
      </c>
      <c r="G106" s="2"/>
      <c r="H106" s="12">
        <f t="shared" si="27"/>
        <v>0</v>
      </c>
      <c r="I106" s="2"/>
      <c r="J106" s="12">
        <f>ROUNDUP((235.2),0)</f>
        <v>236</v>
      </c>
      <c r="K106" s="2"/>
      <c r="L106" s="13">
        <f t="shared" si="28"/>
        <v>5.3571428571428568E-2</v>
      </c>
      <c r="M106" s="2"/>
      <c r="N106" s="12">
        <f t="shared" si="29"/>
        <v>12</v>
      </c>
      <c r="O106" s="2"/>
      <c r="P106" s="12">
        <v>224</v>
      </c>
    </row>
    <row r="107" spans="1:17" x14ac:dyDescent="0.25">
      <c r="A107" t="s">
        <v>74</v>
      </c>
      <c r="B107" t="s">
        <v>9</v>
      </c>
      <c r="C107" t="s">
        <v>10</v>
      </c>
      <c r="D107" s="12">
        <f>ROUNDUP((904.97),0)</f>
        <v>905</v>
      </c>
      <c r="E107" s="2"/>
      <c r="F107" s="37">
        <f t="shared" si="26"/>
        <v>0</v>
      </c>
      <c r="G107" s="2"/>
      <c r="H107" s="12">
        <f t="shared" si="27"/>
        <v>0</v>
      </c>
      <c r="I107" s="2"/>
      <c r="J107" s="12">
        <f>ROUNDUP((904.97),0)</f>
        <v>905</v>
      </c>
      <c r="K107" s="2"/>
      <c r="L107" s="13">
        <f t="shared" si="28"/>
        <v>1.685459940652819</v>
      </c>
      <c r="M107" s="2"/>
      <c r="N107" s="12">
        <f t="shared" si="29"/>
        <v>568</v>
      </c>
      <c r="O107" s="2"/>
      <c r="P107" s="12">
        <v>337</v>
      </c>
    </row>
    <row r="108" spans="1:17" x14ac:dyDescent="0.25">
      <c r="A108" t="s">
        <v>74</v>
      </c>
      <c r="B108" t="s">
        <v>36</v>
      </c>
      <c r="C108" t="s">
        <v>37</v>
      </c>
      <c r="D108" s="12">
        <f>ROUNDUP((19475.72),0)</f>
        <v>19476</v>
      </c>
      <c r="E108" s="2"/>
      <c r="F108" s="37">
        <f t="shared" si="26"/>
        <v>0</v>
      </c>
      <c r="G108" s="2"/>
      <c r="H108" s="12">
        <f t="shared" si="27"/>
        <v>0</v>
      </c>
      <c r="I108" s="2"/>
      <c r="J108" s="12">
        <f>ROUNDUP((19475.72),0)</f>
        <v>19476</v>
      </c>
      <c r="K108" s="2"/>
      <c r="L108" s="13">
        <f t="shared" si="28"/>
        <v>0.6259809651026883</v>
      </c>
      <c r="M108" s="2"/>
      <c r="N108" s="12">
        <f t="shared" si="29"/>
        <v>7498</v>
      </c>
      <c r="O108" s="2"/>
      <c r="P108" s="12">
        <v>11978</v>
      </c>
    </row>
    <row r="109" spans="1:17" x14ac:dyDescent="0.25">
      <c r="A109" t="s">
        <v>74</v>
      </c>
      <c r="B109" t="s">
        <v>38</v>
      </c>
      <c r="C109" t="s">
        <v>39</v>
      </c>
      <c r="D109" s="12">
        <f>ROUNDUP((77547.68),0)</f>
        <v>77548</v>
      </c>
      <c r="E109" s="2"/>
      <c r="F109" s="37">
        <f t="shared" si="26"/>
        <v>0</v>
      </c>
      <c r="G109" s="2"/>
      <c r="H109" s="12">
        <f t="shared" si="27"/>
        <v>0</v>
      </c>
      <c r="I109" s="2"/>
      <c r="J109" s="12">
        <f>ROUNDUP((77547.68),0)</f>
        <v>77548</v>
      </c>
      <c r="K109" s="2"/>
      <c r="L109" s="13">
        <f t="shared" si="28"/>
        <v>0.98963464696223313</v>
      </c>
      <c r="M109" s="2"/>
      <c r="N109" s="12">
        <f t="shared" si="29"/>
        <v>38572</v>
      </c>
      <c r="O109" s="2"/>
      <c r="P109" s="12">
        <v>38976</v>
      </c>
    </row>
    <row r="110" spans="1:17" x14ac:dyDescent="0.25">
      <c r="A110" t="s">
        <v>74</v>
      </c>
      <c r="B110" t="s">
        <v>11</v>
      </c>
      <c r="C110" t="s">
        <v>12</v>
      </c>
      <c r="D110" s="12">
        <f>ROUNDUP((14798.04),0)</f>
        <v>14799</v>
      </c>
      <c r="E110" s="2"/>
      <c r="F110" s="37">
        <f t="shared" si="26"/>
        <v>0</v>
      </c>
      <c r="G110" s="2"/>
      <c r="H110" s="12">
        <f t="shared" si="27"/>
        <v>0</v>
      </c>
      <c r="I110" s="2"/>
      <c r="J110" s="12">
        <f>ROUNDUP((14798.04),0)</f>
        <v>14799</v>
      </c>
      <c r="K110" s="2"/>
      <c r="L110" s="13">
        <f t="shared" si="28"/>
        <v>0.61314584695879659</v>
      </c>
      <c r="M110" s="2"/>
      <c r="N110" s="12">
        <f t="shared" si="29"/>
        <v>5625</v>
      </c>
      <c r="O110" s="2"/>
      <c r="P110" s="12">
        <v>9174</v>
      </c>
    </row>
    <row r="111" spans="1:17" x14ac:dyDescent="0.25">
      <c r="A111" t="s">
        <v>74</v>
      </c>
      <c r="B111" t="s">
        <v>13</v>
      </c>
      <c r="C111" t="s">
        <v>14</v>
      </c>
      <c r="D111" s="12">
        <v>3000</v>
      </c>
      <c r="E111" s="2"/>
      <c r="F111" s="37">
        <f t="shared" si="26"/>
        <v>0</v>
      </c>
      <c r="G111" s="2"/>
      <c r="H111" s="12">
        <f t="shared" si="27"/>
        <v>0</v>
      </c>
      <c r="I111" s="2"/>
      <c r="J111" s="12">
        <v>3000</v>
      </c>
      <c r="K111" s="2"/>
      <c r="L111" s="13">
        <f t="shared" si="28"/>
        <v>0</v>
      </c>
      <c r="M111" s="2"/>
      <c r="N111" s="12">
        <f t="shared" si="29"/>
        <v>0</v>
      </c>
      <c r="O111" s="2"/>
      <c r="P111" s="12">
        <v>3000</v>
      </c>
    </row>
    <row r="112" spans="1:17" x14ac:dyDescent="0.25">
      <c r="A112" t="s">
        <v>74</v>
      </c>
      <c r="B112" t="s">
        <v>19</v>
      </c>
      <c r="C112" t="s">
        <v>20</v>
      </c>
      <c r="D112" s="12">
        <v>8000</v>
      </c>
      <c r="E112" s="2"/>
      <c r="F112" s="37">
        <f t="shared" si="26"/>
        <v>0</v>
      </c>
      <c r="G112" s="2"/>
      <c r="H112" s="12">
        <f t="shared" si="27"/>
        <v>0</v>
      </c>
      <c r="I112" s="2"/>
      <c r="J112" s="12">
        <v>8000</v>
      </c>
      <c r="K112" s="2"/>
      <c r="L112" s="13">
        <f t="shared" si="28"/>
        <v>0</v>
      </c>
      <c r="M112" s="2"/>
      <c r="N112" s="12">
        <f t="shared" si="29"/>
        <v>0</v>
      </c>
      <c r="O112" s="2"/>
      <c r="P112" s="12">
        <v>8000</v>
      </c>
    </row>
    <row r="113" spans="1:17" x14ac:dyDescent="0.25">
      <c r="A113" t="s">
        <v>74</v>
      </c>
      <c r="B113" t="s">
        <v>23</v>
      </c>
      <c r="C113" t="s">
        <v>24</v>
      </c>
      <c r="D113" s="12">
        <v>1000</v>
      </c>
      <c r="E113" s="2"/>
      <c r="F113" s="37">
        <f t="shared" si="26"/>
        <v>0</v>
      </c>
      <c r="G113" s="2"/>
      <c r="H113" s="12">
        <f t="shared" si="27"/>
        <v>0</v>
      </c>
      <c r="I113" s="2"/>
      <c r="J113" s="12">
        <v>1000</v>
      </c>
      <c r="K113" s="2"/>
      <c r="L113" s="13">
        <f t="shared" si="28"/>
        <v>0.66666666666666663</v>
      </c>
      <c r="M113" s="2"/>
      <c r="N113" s="12">
        <f t="shared" si="29"/>
        <v>400</v>
      </c>
      <c r="O113" s="2"/>
      <c r="P113" s="12">
        <v>600</v>
      </c>
    </row>
    <row r="114" spans="1:17" x14ac:dyDescent="0.25">
      <c r="A114" t="s">
        <v>74</v>
      </c>
      <c r="B114" t="s">
        <v>42</v>
      </c>
      <c r="C114" t="s">
        <v>43</v>
      </c>
      <c r="D114" s="12">
        <v>100</v>
      </c>
      <c r="E114" s="2"/>
      <c r="F114" s="37">
        <f t="shared" si="26"/>
        <v>0</v>
      </c>
      <c r="G114" s="2"/>
      <c r="H114" s="12">
        <f t="shared" si="27"/>
        <v>0</v>
      </c>
      <c r="I114" s="2"/>
      <c r="J114" s="12">
        <v>100</v>
      </c>
      <c r="K114" s="2"/>
      <c r="L114" s="13">
        <v>1</v>
      </c>
      <c r="M114" s="2"/>
      <c r="N114" s="12">
        <f t="shared" si="29"/>
        <v>100</v>
      </c>
      <c r="O114" s="2"/>
      <c r="P114" s="12">
        <v>0</v>
      </c>
    </row>
    <row r="115" spans="1:17" x14ac:dyDescent="0.25">
      <c r="A115" t="s">
        <v>74</v>
      </c>
      <c r="B115" t="s">
        <v>44</v>
      </c>
      <c r="C115" t="s">
        <v>45</v>
      </c>
      <c r="D115" s="12">
        <v>500</v>
      </c>
      <c r="E115" s="2"/>
      <c r="F115" s="37">
        <f t="shared" si="26"/>
        <v>0</v>
      </c>
      <c r="G115" s="2"/>
      <c r="H115" s="12">
        <f t="shared" si="27"/>
        <v>0</v>
      </c>
      <c r="I115" s="2"/>
      <c r="J115" s="12">
        <v>500</v>
      </c>
      <c r="K115" s="2"/>
      <c r="L115" s="13">
        <f t="shared" si="28"/>
        <v>0</v>
      </c>
      <c r="M115" s="2"/>
      <c r="N115" s="12">
        <f t="shared" si="29"/>
        <v>0</v>
      </c>
      <c r="O115" s="2"/>
      <c r="P115" s="12">
        <v>500</v>
      </c>
    </row>
    <row r="116" spans="1:17" x14ac:dyDescent="0.25">
      <c r="D116" s="2"/>
      <c r="E116" s="2"/>
      <c r="F116" s="2"/>
      <c r="G116" s="2"/>
      <c r="H116" s="2"/>
      <c r="I116" s="2"/>
      <c r="J116" s="2"/>
      <c r="K116" s="2"/>
      <c r="L116" s="19"/>
      <c r="M116" s="2"/>
      <c r="O116" s="2"/>
    </row>
    <row r="117" spans="1:17" x14ac:dyDescent="0.25">
      <c r="A117" t="s">
        <v>5</v>
      </c>
      <c r="B117" t="s">
        <v>5</v>
      </c>
      <c r="C117" s="1" t="s">
        <v>351</v>
      </c>
      <c r="D117" s="8">
        <f>SUM(D103:D115)</f>
        <v>319003</v>
      </c>
      <c r="E117" s="2"/>
      <c r="F117" s="15">
        <f>H117/J117</f>
        <v>0</v>
      </c>
      <c r="G117" s="2"/>
      <c r="H117" s="8">
        <f>SUM(H103:H115)</f>
        <v>0</v>
      </c>
      <c r="I117" s="2"/>
      <c r="J117" s="8">
        <f>SUM(J103:J115)</f>
        <v>319003</v>
      </c>
      <c r="K117" s="2"/>
      <c r="L117" s="15">
        <f>N117/P117</f>
        <v>0.65531824361489044</v>
      </c>
      <c r="M117" s="2"/>
      <c r="N117" s="8">
        <f>SUM(N103:N115)</f>
        <v>126289</v>
      </c>
      <c r="O117" s="2"/>
      <c r="P117" s="8">
        <f>SUM(P103:P115)</f>
        <v>192714</v>
      </c>
    </row>
    <row r="118" spans="1:17" x14ac:dyDescent="0.25">
      <c r="D118" s="2"/>
      <c r="E118" s="2"/>
      <c r="F118" s="2"/>
      <c r="G118" s="2"/>
      <c r="H118" s="2"/>
      <c r="I118" s="2"/>
      <c r="J118" s="2"/>
      <c r="K118" s="2"/>
      <c r="M118" s="2"/>
      <c r="O118" s="2"/>
    </row>
    <row r="119" spans="1:17" ht="30" customHeight="1" x14ac:dyDescent="0.25">
      <c r="A119" t="s">
        <v>78</v>
      </c>
      <c r="B119" t="s">
        <v>30</v>
      </c>
      <c r="C119" t="s">
        <v>79</v>
      </c>
      <c r="D119" s="12">
        <f>ROUNDUP((50689.18),0)</f>
        <v>50690</v>
      </c>
      <c r="E119" s="2"/>
      <c r="F119" s="37">
        <f t="shared" ref="F119:F134" si="30">H119/J119</f>
        <v>0</v>
      </c>
      <c r="G119" s="2"/>
      <c r="H119" s="12">
        <f t="shared" ref="H119:H134" si="31">D119-J119</f>
        <v>0</v>
      </c>
      <c r="I119" s="2"/>
      <c r="J119" s="12">
        <f>ROUNDUP((50689.18),0)</f>
        <v>50690</v>
      </c>
      <c r="K119" s="2"/>
      <c r="L119" s="13">
        <f t="shared" ref="L119:L134" si="32">N119/P119</f>
        <v>1.0599829316861056</v>
      </c>
      <c r="M119" s="2"/>
      <c r="N119" s="12">
        <f t="shared" ref="N119:N134" si="33">J119-P119</f>
        <v>26083</v>
      </c>
      <c r="O119" s="2"/>
      <c r="P119" s="12">
        <v>24607</v>
      </c>
      <c r="Q119" s="21" t="s">
        <v>356</v>
      </c>
    </row>
    <row r="120" spans="1:17" x14ac:dyDescent="0.25">
      <c r="A120" t="s">
        <v>78</v>
      </c>
      <c r="B120" t="s">
        <v>34</v>
      </c>
      <c r="C120" t="s">
        <v>35</v>
      </c>
      <c r="D120" s="12">
        <f>ROUNDUP((58.8),0)</f>
        <v>59</v>
      </c>
      <c r="E120" s="2"/>
      <c r="F120" s="37">
        <f t="shared" si="30"/>
        <v>0</v>
      </c>
      <c r="G120" s="2"/>
      <c r="H120" s="12">
        <f t="shared" si="31"/>
        <v>0</v>
      </c>
      <c r="I120" s="2"/>
      <c r="J120" s="12">
        <f>ROUNDUP((58.8),0)</f>
        <v>59</v>
      </c>
      <c r="K120" s="2"/>
      <c r="L120" s="13">
        <f t="shared" si="32"/>
        <v>-0.21333333333333335</v>
      </c>
      <c r="M120" s="2"/>
      <c r="N120" s="12">
        <f t="shared" si="33"/>
        <v>-16</v>
      </c>
      <c r="O120" s="2"/>
      <c r="P120" s="12">
        <v>75</v>
      </c>
    </row>
    <row r="121" spans="1:17" x14ac:dyDescent="0.25">
      <c r="A121" t="s">
        <v>78</v>
      </c>
      <c r="B121" t="s">
        <v>9</v>
      </c>
      <c r="C121" t="s">
        <v>10</v>
      </c>
      <c r="D121" s="12">
        <f>ROUNDUP((237.14),0)</f>
        <v>238</v>
      </c>
      <c r="E121" s="2"/>
      <c r="F121" s="37">
        <f t="shared" si="30"/>
        <v>0</v>
      </c>
      <c r="G121" s="2"/>
      <c r="H121" s="12">
        <f t="shared" si="31"/>
        <v>0</v>
      </c>
      <c r="I121" s="2"/>
      <c r="J121" s="12">
        <f>ROUNDUP((237.14),0)</f>
        <v>238</v>
      </c>
      <c r="K121" s="2"/>
      <c r="L121" s="13">
        <f t="shared" si="32"/>
        <v>1.0877192982456141</v>
      </c>
      <c r="M121" s="2"/>
      <c r="N121" s="12">
        <f t="shared" si="33"/>
        <v>124</v>
      </c>
      <c r="O121" s="2"/>
      <c r="P121" s="12">
        <v>114</v>
      </c>
    </row>
    <row r="122" spans="1:17" x14ac:dyDescent="0.25">
      <c r="A122" t="s">
        <v>78</v>
      </c>
      <c r="B122" t="s">
        <v>36</v>
      </c>
      <c r="C122" t="s">
        <v>37</v>
      </c>
      <c r="D122" s="12">
        <f>ROUNDUP((5170.3),0)</f>
        <v>5171</v>
      </c>
      <c r="E122" s="2"/>
      <c r="F122" s="37">
        <f t="shared" si="30"/>
        <v>0</v>
      </c>
      <c r="G122" s="2"/>
      <c r="H122" s="12">
        <f t="shared" si="31"/>
        <v>0</v>
      </c>
      <c r="I122" s="2"/>
      <c r="J122" s="12">
        <f>ROUNDUP((5170.3),0)</f>
        <v>5171</v>
      </c>
      <c r="K122" s="2"/>
      <c r="L122" s="13">
        <f t="shared" si="32"/>
        <v>1.0601593625498007</v>
      </c>
      <c r="M122" s="2"/>
      <c r="N122" s="12">
        <f t="shared" si="33"/>
        <v>2661</v>
      </c>
      <c r="O122" s="2"/>
      <c r="P122" s="12">
        <v>2510</v>
      </c>
    </row>
    <row r="123" spans="1:17" x14ac:dyDescent="0.25">
      <c r="A123" t="s">
        <v>78</v>
      </c>
      <c r="B123" t="s">
        <v>38</v>
      </c>
      <c r="C123" t="s">
        <v>39</v>
      </c>
      <c r="D123" s="12">
        <f>ROUNDUP((3230.47),0)</f>
        <v>3231</v>
      </c>
      <c r="E123" s="2"/>
      <c r="F123" s="37">
        <f t="shared" si="30"/>
        <v>0</v>
      </c>
      <c r="G123" s="2"/>
      <c r="H123" s="12">
        <f t="shared" si="31"/>
        <v>0</v>
      </c>
      <c r="I123" s="2"/>
      <c r="J123" s="12">
        <f>ROUNDUP((3230.47),0)</f>
        <v>3231</v>
      </c>
      <c r="K123" s="2"/>
      <c r="L123" s="13">
        <f t="shared" si="32"/>
        <v>1.0605867346938775</v>
      </c>
      <c r="M123" s="2"/>
      <c r="N123" s="12">
        <f t="shared" si="33"/>
        <v>1663</v>
      </c>
      <c r="O123" s="2"/>
      <c r="P123" s="12">
        <v>1568</v>
      </c>
    </row>
    <row r="124" spans="1:17" x14ac:dyDescent="0.25">
      <c r="A124" t="s">
        <v>78</v>
      </c>
      <c r="B124" t="s">
        <v>11</v>
      </c>
      <c r="C124" t="s">
        <v>12</v>
      </c>
      <c r="D124" s="12">
        <f>ROUNDUP((3877.72),0)</f>
        <v>3878</v>
      </c>
      <c r="E124" s="2"/>
      <c r="F124" s="37">
        <f t="shared" si="30"/>
        <v>0</v>
      </c>
      <c r="G124" s="2"/>
      <c r="H124" s="12">
        <f t="shared" si="31"/>
        <v>0</v>
      </c>
      <c r="I124" s="2"/>
      <c r="J124" s="12">
        <f>ROUNDUP((3877.72),0)</f>
        <v>3878</v>
      </c>
      <c r="K124" s="2"/>
      <c r="L124" s="13">
        <f t="shared" si="32"/>
        <v>1.0605738575982997</v>
      </c>
      <c r="M124" s="2"/>
      <c r="N124" s="12">
        <f t="shared" si="33"/>
        <v>1996</v>
      </c>
      <c r="O124" s="2"/>
      <c r="P124" s="12">
        <v>1882</v>
      </c>
    </row>
    <row r="125" spans="1:17" x14ac:dyDescent="0.25">
      <c r="A125" t="s">
        <v>78</v>
      </c>
      <c r="B125" t="s">
        <v>13</v>
      </c>
      <c r="C125" t="s">
        <v>14</v>
      </c>
      <c r="D125" s="12">
        <v>1700</v>
      </c>
      <c r="E125" s="2"/>
      <c r="F125" s="37">
        <f t="shared" si="30"/>
        <v>0</v>
      </c>
      <c r="G125" s="2"/>
      <c r="H125" s="12">
        <f t="shared" si="31"/>
        <v>0</v>
      </c>
      <c r="I125" s="2"/>
      <c r="J125" s="12">
        <v>1700</v>
      </c>
      <c r="K125" s="2"/>
      <c r="L125" s="13">
        <f t="shared" si="32"/>
        <v>3</v>
      </c>
      <c r="M125" s="2"/>
      <c r="N125" s="12">
        <f t="shared" si="33"/>
        <v>1275</v>
      </c>
      <c r="O125" s="2"/>
      <c r="P125" s="12">
        <v>425</v>
      </c>
      <c r="Q125" t="s">
        <v>425</v>
      </c>
    </row>
    <row r="126" spans="1:17" x14ac:dyDescent="0.25">
      <c r="A126" t="s">
        <v>78</v>
      </c>
      <c r="B126" t="s">
        <v>19</v>
      </c>
      <c r="C126" t="s">
        <v>20</v>
      </c>
      <c r="D126" s="12">
        <v>400</v>
      </c>
      <c r="E126" s="2"/>
      <c r="F126" s="37">
        <f t="shared" si="30"/>
        <v>0</v>
      </c>
      <c r="G126" s="2"/>
      <c r="H126" s="12">
        <f t="shared" si="31"/>
        <v>0</v>
      </c>
      <c r="I126" s="2"/>
      <c r="J126" s="12">
        <v>400</v>
      </c>
      <c r="K126" s="2"/>
      <c r="L126" s="13">
        <f t="shared" si="32"/>
        <v>0.33333333333333331</v>
      </c>
      <c r="M126" s="2"/>
      <c r="N126" s="12">
        <f t="shared" si="33"/>
        <v>100</v>
      </c>
      <c r="O126" s="2"/>
      <c r="P126" s="12">
        <v>300</v>
      </c>
    </row>
    <row r="127" spans="1:17" x14ac:dyDescent="0.25">
      <c r="A127" t="s">
        <v>78</v>
      </c>
      <c r="B127" t="s">
        <v>63</v>
      </c>
      <c r="C127" t="s">
        <v>64</v>
      </c>
      <c r="D127" s="12">
        <v>350</v>
      </c>
      <c r="E127" s="2"/>
      <c r="F127" s="37">
        <f t="shared" si="30"/>
        <v>0</v>
      </c>
      <c r="G127" s="2"/>
      <c r="H127" s="12">
        <f t="shared" si="31"/>
        <v>0</v>
      </c>
      <c r="I127" s="2"/>
      <c r="J127" s="12">
        <v>350</v>
      </c>
      <c r="K127" s="2"/>
      <c r="L127" s="13">
        <f t="shared" si="32"/>
        <v>6.0606060606060608E-2</v>
      </c>
      <c r="M127" s="2"/>
      <c r="N127" s="12">
        <f t="shared" si="33"/>
        <v>20</v>
      </c>
      <c r="O127" s="2"/>
      <c r="P127" s="12">
        <v>330</v>
      </c>
    </row>
    <row r="128" spans="1:17" x14ac:dyDescent="0.25">
      <c r="A128" t="s">
        <v>78</v>
      </c>
      <c r="B128" t="s">
        <v>23</v>
      </c>
      <c r="C128" t="s">
        <v>24</v>
      </c>
      <c r="D128" s="12">
        <v>600</v>
      </c>
      <c r="E128" s="2"/>
      <c r="F128" s="37">
        <f t="shared" si="30"/>
        <v>0</v>
      </c>
      <c r="G128" s="2"/>
      <c r="H128" s="12">
        <f t="shared" si="31"/>
        <v>0</v>
      </c>
      <c r="I128" s="2"/>
      <c r="J128" s="12">
        <v>600</v>
      </c>
      <c r="K128" s="2"/>
      <c r="L128" s="13">
        <f t="shared" si="32"/>
        <v>0.2</v>
      </c>
      <c r="M128" s="2"/>
      <c r="N128" s="12">
        <f t="shared" si="33"/>
        <v>100</v>
      </c>
      <c r="O128" s="2"/>
      <c r="P128" s="12">
        <v>500</v>
      </c>
    </row>
    <row r="129" spans="1:17" x14ac:dyDescent="0.25">
      <c r="A129" t="s">
        <v>78</v>
      </c>
      <c r="B129" t="s">
        <v>42</v>
      </c>
      <c r="C129" t="s">
        <v>43</v>
      </c>
      <c r="D129" s="12">
        <v>200</v>
      </c>
      <c r="E129" s="2"/>
      <c r="F129" s="37">
        <f t="shared" si="30"/>
        <v>0</v>
      </c>
      <c r="G129" s="2"/>
      <c r="H129" s="12">
        <f t="shared" si="31"/>
        <v>0</v>
      </c>
      <c r="I129" s="2"/>
      <c r="J129" s="12">
        <v>200</v>
      </c>
      <c r="K129" s="2"/>
      <c r="L129" s="13">
        <f t="shared" si="32"/>
        <v>0.33333333333333331</v>
      </c>
      <c r="M129" s="2"/>
      <c r="N129" s="12">
        <f t="shared" si="33"/>
        <v>50</v>
      </c>
      <c r="O129" s="2"/>
      <c r="P129" s="12">
        <v>150</v>
      </c>
    </row>
    <row r="130" spans="1:17" x14ac:dyDescent="0.25">
      <c r="A130" t="s">
        <v>78</v>
      </c>
      <c r="B130" t="s">
        <v>44</v>
      </c>
      <c r="C130" t="s">
        <v>45</v>
      </c>
      <c r="D130" s="12">
        <v>700</v>
      </c>
      <c r="E130" s="2"/>
      <c r="F130" s="37">
        <f t="shared" si="30"/>
        <v>0</v>
      </c>
      <c r="G130" s="2"/>
      <c r="H130" s="12">
        <f t="shared" si="31"/>
        <v>0</v>
      </c>
      <c r="I130" s="2"/>
      <c r="J130" s="12">
        <v>700</v>
      </c>
      <c r="K130" s="2"/>
      <c r="L130" s="13">
        <f t="shared" si="32"/>
        <v>1</v>
      </c>
      <c r="M130" s="2"/>
      <c r="N130" s="12">
        <f t="shared" si="33"/>
        <v>350</v>
      </c>
      <c r="O130" s="2"/>
      <c r="P130" s="12">
        <v>350</v>
      </c>
    </row>
    <row r="131" spans="1:17" x14ac:dyDescent="0.25">
      <c r="A131" t="s">
        <v>78</v>
      </c>
      <c r="B131" t="s">
        <v>51</v>
      </c>
      <c r="C131" t="s">
        <v>52</v>
      </c>
      <c r="D131" s="12">
        <v>35000</v>
      </c>
      <c r="E131" s="2"/>
      <c r="F131" s="37">
        <f t="shared" si="30"/>
        <v>0</v>
      </c>
      <c r="G131" s="2"/>
      <c r="H131" s="12">
        <f t="shared" si="31"/>
        <v>0</v>
      </c>
      <c r="I131" s="2"/>
      <c r="J131" s="12">
        <v>35000</v>
      </c>
      <c r="K131" s="2"/>
      <c r="L131" s="13">
        <f t="shared" si="32"/>
        <v>0</v>
      </c>
      <c r="M131" s="2"/>
      <c r="N131" s="12">
        <f t="shared" si="33"/>
        <v>0</v>
      </c>
      <c r="O131" s="2"/>
      <c r="P131" s="12">
        <v>35000</v>
      </c>
    </row>
    <row r="132" spans="1:17" x14ac:dyDescent="0.25">
      <c r="A132" t="s">
        <v>78</v>
      </c>
      <c r="B132" t="s">
        <v>76</v>
      </c>
      <c r="C132" t="s">
        <v>77</v>
      </c>
      <c r="D132" s="12">
        <v>850</v>
      </c>
      <c r="E132" s="2"/>
      <c r="F132" s="37">
        <f t="shared" si="30"/>
        <v>0</v>
      </c>
      <c r="G132" s="2"/>
      <c r="H132" s="12">
        <f t="shared" si="31"/>
        <v>0</v>
      </c>
      <c r="I132" s="2"/>
      <c r="J132" s="12">
        <v>850</v>
      </c>
      <c r="K132" s="2"/>
      <c r="L132" s="13">
        <f t="shared" si="32"/>
        <v>0.21428571428571427</v>
      </c>
      <c r="M132" s="2"/>
      <c r="N132" s="12">
        <f t="shared" si="33"/>
        <v>150</v>
      </c>
      <c r="O132" s="2"/>
      <c r="P132" s="12">
        <v>700</v>
      </c>
    </row>
    <row r="133" spans="1:17" x14ac:dyDescent="0.25">
      <c r="A133" t="s">
        <v>78</v>
      </c>
      <c r="B133" t="s">
        <v>80</v>
      </c>
      <c r="C133" t="s">
        <v>81</v>
      </c>
      <c r="D133" s="12">
        <v>2000</v>
      </c>
      <c r="E133" s="2"/>
      <c r="F133" s="37">
        <f t="shared" si="30"/>
        <v>0</v>
      </c>
      <c r="G133" s="2"/>
      <c r="H133" s="12">
        <f t="shared" si="31"/>
        <v>0</v>
      </c>
      <c r="I133" s="2"/>
      <c r="J133" s="12">
        <v>2000</v>
      </c>
      <c r="K133" s="2"/>
      <c r="L133" s="13">
        <f t="shared" si="32"/>
        <v>0</v>
      </c>
      <c r="M133" s="2"/>
      <c r="N133" s="12">
        <f t="shared" si="33"/>
        <v>0</v>
      </c>
      <c r="O133" s="2"/>
      <c r="P133" s="12">
        <v>2000</v>
      </c>
    </row>
    <row r="134" spans="1:17" x14ac:dyDescent="0.25">
      <c r="A134" t="s">
        <v>78</v>
      </c>
      <c r="B134" t="s">
        <v>82</v>
      </c>
      <c r="C134" t="s">
        <v>83</v>
      </c>
      <c r="D134" s="12">
        <v>30000</v>
      </c>
      <c r="E134" s="2"/>
      <c r="F134" s="37">
        <f t="shared" si="30"/>
        <v>0</v>
      </c>
      <c r="G134" s="2"/>
      <c r="H134" s="12">
        <f t="shared" si="31"/>
        <v>0</v>
      </c>
      <c r="I134" s="2"/>
      <c r="J134" s="12">
        <v>30000</v>
      </c>
      <c r="K134" s="2"/>
      <c r="L134" s="13">
        <f t="shared" si="32"/>
        <v>0</v>
      </c>
      <c r="M134" s="2"/>
      <c r="N134" s="12">
        <f t="shared" si="33"/>
        <v>0</v>
      </c>
      <c r="O134" s="2"/>
      <c r="P134" s="12">
        <v>30000</v>
      </c>
    </row>
    <row r="135" spans="1:17" x14ac:dyDescent="0.25">
      <c r="D135" s="2"/>
      <c r="E135" s="2"/>
      <c r="F135" s="2"/>
      <c r="G135" s="2"/>
      <c r="H135" s="2"/>
      <c r="I135" s="2"/>
      <c r="J135" s="2"/>
      <c r="K135" s="2"/>
      <c r="M135" s="2"/>
      <c r="O135" s="2"/>
    </row>
    <row r="136" spans="1:17" x14ac:dyDescent="0.25">
      <c r="A136" t="s">
        <v>5</v>
      </c>
      <c r="B136" t="s">
        <v>5</v>
      </c>
      <c r="C136" s="1" t="s">
        <v>352</v>
      </c>
      <c r="D136" s="8">
        <f>SUM(D119:D134)</f>
        <v>135067</v>
      </c>
      <c r="E136" s="2"/>
      <c r="F136" s="15">
        <f>H136/J136</f>
        <v>0</v>
      </c>
      <c r="G136" s="2"/>
      <c r="H136" s="8">
        <f>SUM(H119:H134)</f>
        <v>0</v>
      </c>
      <c r="I136" s="2"/>
      <c r="J136" s="8">
        <f>SUM(J119:J134)</f>
        <v>135067</v>
      </c>
      <c r="K136" s="2"/>
      <c r="L136" s="15">
        <f>N136/P136</f>
        <v>0.34380316582264625</v>
      </c>
      <c r="M136" s="2"/>
      <c r="N136" s="8">
        <f>SUM(N119:N134)</f>
        <v>34556</v>
      </c>
      <c r="O136" s="2"/>
      <c r="P136" s="8">
        <f>SUM(P119:P134)</f>
        <v>100511</v>
      </c>
    </row>
    <row r="137" spans="1:17" x14ac:dyDescent="0.25">
      <c r="D137" s="2"/>
      <c r="E137" s="2"/>
      <c r="F137" s="2"/>
      <c r="G137" s="2"/>
      <c r="H137" s="2"/>
      <c r="I137" s="2"/>
      <c r="J137" s="2"/>
      <c r="K137" s="2"/>
      <c r="M137" s="2"/>
      <c r="O137" s="2"/>
    </row>
    <row r="138" spans="1:17" x14ac:dyDescent="0.25">
      <c r="A138" t="s">
        <v>84</v>
      </c>
      <c r="B138" t="s">
        <v>57</v>
      </c>
      <c r="C138" t="s">
        <v>58</v>
      </c>
      <c r="D138" s="12">
        <f>ROUNDUP((79572.59),0)</f>
        <v>79573</v>
      </c>
      <c r="E138" s="2"/>
      <c r="F138" s="37">
        <f t="shared" ref="F138:F152" si="34">H138/J138</f>
        <v>0</v>
      </c>
      <c r="G138" s="2"/>
      <c r="H138" s="12">
        <f t="shared" ref="H138:H152" si="35">D138-J138</f>
        <v>0</v>
      </c>
      <c r="I138" s="2"/>
      <c r="J138" s="12">
        <f>ROUNDUP((79572.59),0)</f>
        <v>79573</v>
      </c>
      <c r="K138" s="2"/>
      <c r="L138" s="13">
        <f t="shared" ref="L138:L152" si="36">N138/P138</f>
        <v>3.0004530451103489E-2</v>
      </c>
      <c r="M138" s="2"/>
      <c r="N138" s="12">
        <f t="shared" ref="N138:N152" si="37">J138-P138</f>
        <v>2318</v>
      </c>
      <c r="O138" s="2"/>
      <c r="P138" s="12">
        <v>77255</v>
      </c>
      <c r="Q138" t="s">
        <v>355</v>
      </c>
    </row>
    <row r="139" spans="1:17" ht="30" x14ac:dyDescent="0.25">
      <c r="A139" t="s">
        <v>84</v>
      </c>
      <c r="B139" t="s">
        <v>30</v>
      </c>
      <c r="C139" t="s">
        <v>31</v>
      </c>
      <c r="D139" s="12">
        <f>ROUNDUP((18210.4),0)</f>
        <v>18211</v>
      </c>
      <c r="E139" s="2"/>
      <c r="F139" s="37">
        <f t="shared" si="34"/>
        <v>0</v>
      </c>
      <c r="G139" s="2"/>
      <c r="H139" s="12">
        <f t="shared" si="35"/>
        <v>0</v>
      </c>
      <c r="I139" s="2"/>
      <c r="J139" s="12">
        <f>ROUNDUP((18210.4),0)</f>
        <v>18211</v>
      </c>
      <c r="K139" s="2"/>
      <c r="L139" s="13">
        <f t="shared" si="36"/>
        <v>-0.56397548244983964</v>
      </c>
      <c r="M139" s="2"/>
      <c r="N139" s="12">
        <f t="shared" si="37"/>
        <v>-23555</v>
      </c>
      <c r="O139" s="2"/>
      <c r="P139" s="12">
        <v>41766</v>
      </c>
      <c r="Q139" s="21" t="s">
        <v>356</v>
      </c>
    </row>
    <row r="140" spans="1:17" x14ac:dyDescent="0.25">
      <c r="A140" t="s">
        <v>84</v>
      </c>
      <c r="B140" t="s">
        <v>34</v>
      </c>
      <c r="C140" t="s">
        <v>35</v>
      </c>
      <c r="D140" s="12">
        <f>ROUNDUP((117.6),0)</f>
        <v>118</v>
      </c>
      <c r="E140" s="2"/>
      <c r="F140" s="37">
        <f t="shared" si="34"/>
        <v>0</v>
      </c>
      <c r="G140" s="2"/>
      <c r="H140" s="12">
        <f t="shared" si="35"/>
        <v>0</v>
      </c>
      <c r="I140" s="2"/>
      <c r="J140" s="12">
        <f>ROUNDUP((117.6),0)</f>
        <v>118</v>
      </c>
      <c r="K140" s="2"/>
      <c r="L140" s="13">
        <f t="shared" si="36"/>
        <v>-0.20805369127516779</v>
      </c>
      <c r="M140" s="2"/>
      <c r="N140" s="12">
        <f t="shared" si="37"/>
        <v>-31</v>
      </c>
      <c r="O140" s="2"/>
      <c r="P140" s="12">
        <v>149</v>
      </c>
    </row>
    <row r="141" spans="1:17" x14ac:dyDescent="0.25">
      <c r="A141" t="s">
        <v>84</v>
      </c>
      <c r="B141" t="s">
        <v>9</v>
      </c>
      <c r="C141" t="s">
        <v>10</v>
      </c>
      <c r="D141" s="12">
        <f>ROUNDUP((2746.86),0)</f>
        <v>2747</v>
      </c>
      <c r="E141" s="2"/>
      <c r="F141" s="37">
        <f t="shared" si="34"/>
        <v>0</v>
      </c>
      <c r="G141" s="2"/>
      <c r="H141" s="12">
        <f t="shared" si="35"/>
        <v>0</v>
      </c>
      <c r="I141" s="2"/>
      <c r="J141" s="12">
        <f>ROUNDUP((2746.86),0)</f>
        <v>2747</v>
      </c>
      <c r="K141" s="2"/>
      <c r="L141" s="13">
        <f t="shared" si="36"/>
        <v>6.5554693560899921E-2</v>
      </c>
      <c r="M141" s="2"/>
      <c r="N141" s="12">
        <f t="shared" si="37"/>
        <v>169</v>
      </c>
      <c r="O141" s="2"/>
      <c r="P141" s="12">
        <v>2578</v>
      </c>
    </row>
    <row r="142" spans="1:17" x14ac:dyDescent="0.25">
      <c r="A142" t="s">
        <v>84</v>
      </c>
      <c r="B142" t="s">
        <v>36</v>
      </c>
      <c r="C142" t="s">
        <v>37</v>
      </c>
      <c r="D142" s="12">
        <f>ROUNDUP((8116.4),0)</f>
        <v>8117</v>
      </c>
      <c r="E142" s="2"/>
      <c r="F142" s="37">
        <f t="shared" si="34"/>
        <v>0</v>
      </c>
      <c r="G142" s="2"/>
      <c r="H142" s="12">
        <f t="shared" si="35"/>
        <v>0</v>
      </c>
      <c r="I142" s="2"/>
      <c r="J142" s="12">
        <f>ROUNDUP((8116.4),0)</f>
        <v>8117</v>
      </c>
      <c r="K142" s="2"/>
      <c r="L142" s="13">
        <f t="shared" si="36"/>
        <v>-0.21876804619826756</v>
      </c>
      <c r="M142" s="2"/>
      <c r="N142" s="12">
        <f t="shared" si="37"/>
        <v>-2273</v>
      </c>
      <c r="O142" s="2"/>
      <c r="P142" s="12">
        <v>10390</v>
      </c>
    </row>
    <row r="143" spans="1:17" x14ac:dyDescent="0.25">
      <c r="A143" t="s">
        <v>84</v>
      </c>
      <c r="B143" t="s">
        <v>38</v>
      </c>
      <c r="C143" t="s">
        <v>39</v>
      </c>
      <c r="D143" s="12">
        <f>ROUNDUP((27269.05),0)</f>
        <v>27270</v>
      </c>
      <c r="E143" s="2"/>
      <c r="F143" s="37">
        <f t="shared" si="34"/>
        <v>0</v>
      </c>
      <c r="G143" s="2"/>
      <c r="H143" s="12">
        <f t="shared" si="35"/>
        <v>0</v>
      </c>
      <c r="I143" s="2"/>
      <c r="J143" s="12">
        <f>ROUNDUP((27269.05),0)</f>
        <v>27270</v>
      </c>
      <c r="K143" s="2"/>
      <c r="L143" s="13">
        <f t="shared" si="36"/>
        <v>0.38813947569356072</v>
      </c>
      <c r="M143" s="2"/>
      <c r="N143" s="12">
        <f t="shared" si="37"/>
        <v>7625</v>
      </c>
      <c r="O143" s="2"/>
      <c r="P143" s="12">
        <v>19645</v>
      </c>
    </row>
    <row r="144" spans="1:17" x14ac:dyDescent="0.25">
      <c r="A144" t="s">
        <v>84</v>
      </c>
      <c r="B144" t="s">
        <v>11</v>
      </c>
      <c r="C144" t="s">
        <v>12</v>
      </c>
      <c r="D144" s="12">
        <f>ROUNDUP((7480.4),0)</f>
        <v>7481</v>
      </c>
      <c r="E144" s="2"/>
      <c r="F144" s="37">
        <f t="shared" si="34"/>
        <v>0</v>
      </c>
      <c r="G144" s="2"/>
      <c r="H144" s="12">
        <f t="shared" si="35"/>
        <v>0</v>
      </c>
      <c r="I144" s="2"/>
      <c r="J144" s="12">
        <f>ROUNDUP((7480.4),0)</f>
        <v>7481</v>
      </c>
      <c r="K144" s="2"/>
      <c r="L144" s="13">
        <f t="shared" si="36"/>
        <v>-0.17836353651839648</v>
      </c>
      <c r="M144" s="2"/>
      <c r="N144" s="12">
        <f t="shared" si="37"/>
        <v>-1624</v>
      </c>
      <c r="O144" s="2"/>
      <c r="P144" s="12">
        <v>9105</v>
      </c>
    </row>
    <row r="145" spans="1:17" x14ac:dyDescent="0.25">
      <c r="A145" t="s">
        <v>84</v>
      </c>
      <c r="B145" t="s">
        <v>13</v>
      </c>
      <c r="C145" t="s">
        <v>14</v>
      </c>
      <c r="D145" s="12">
        <v>1600</v>
      </c>
      <c r="E145" s="2"/>
      <c r="F145" s="37">
        <f t="shared" si="34"/>
        <v>0</v>
      </c>
      <c r="G145" s="2"/>
      <c r="H145" s="12">
        <f t="shared" si="35"/>
        <v>0</v>
      </c>
      <c r="I145" s="2"/>
      <c r="J145" s="12">
        <v>1600</v>
      </c>
      <c r="K145" s="2"/>
      <c r="L145" s="13">
        <f t="shared" si="36"/>
        <v>1.5873015873015872E-2</v>
      </c>
      <c r="M145" s="2"/>
      <c r="N145" s="12">
        <f t="shared" si="37"/>
        <v>25</v>
      </c>
      <c r="O145" s="2"/>
      <c r="P145" s="12">
        <v>1575</v>
      </c>
    </row>
    <row r="146" spans="1:17" x14ac:dyDescent="0.25">
      <c r="A146" t="s">
        <v>84</v>
      </c>
      <c r="B146" t="s">
        <v>19</v>
      </c>
      <c r="C146" t="s">
        <v>20</v>
      </c>
      <c r="D146" s="12">
        <v>200</v>
      </c>
      <c r="E146" s="2"/>
      <c r="F146" s="37">
        <f t="shared" si="34"/>
        <v>0</v>
      </c>
      <c r="G146" s="2"/>
      <c r="H146" s="12">
        <f t="shared" si="35"/>
        <v>0</v>
      </c>
      <c r="I146" s="2"/>
      <c r="J146" s="12">
        <v>200</v>
      </c>
      <c r="K146" s="2"/>
      <c r="L146" s="13">
        <f t="shared" si="36"/>
        <v>0.33333333333333331</v>
      </c>
      <c r="M146" s="2"/>
      <c r="N146" s="12">
        <f t="shared" si="37"/>
        <v>50</v>
      </c>
      <c r="O146" s="2"/>
      <c r="P146" s="12">
        <v>150</v>
      </c>
    </row>
    <row r="147" spans="1:17" x14ac:dyDescent="0.25">
      <c r="A147" t="s">
        <v>84</v>
      </c>
      <c r="B147" t="s">
        <v>40</v>
      </c>
      <c r="C147" t="s">
        <v>41</v>
      </c>
      <c r="D147" s="12">
        <v>420</v>
      </c>
      <c r="E147" s="2"/>
      <c r="F147" s="37">
        <f t="shared" si="34"/>
        <v>0</v>
      </c>
      <c r="G147" s="2"/>
      <c r="H147" s="12">
        <f t="shared" si="35"/>
        <v>0</v>
      </c>
      <c r="I147" s="2"/>
      <c r="J147" s="12">
        <v>420</v>
      </c>
      <c r="K147" s="2"/>
      <c r="L147" s="13">
        <f t="shared" si="36"/>
        <v>0</v>
      </c>
      <c r="M147" s="2"/>
      <c r="N147" s="12">
        <f t="shared" si="37"/>
        <v>0</v>
      </c>
      <c r="O147" s="2"/>
      <c r="P147" s="12">
        <v>420</v>
      </c>
    </row>
    <row r="148" spans="1:17" x14ac:dyDescent="0.25">
      <c r="A148" t="s">
        <v>84</v>
      </c>
      <c r="B148" t="s">
        <v>85</v>
      </c>
      <c r="C148" t="s">
        <v>86</v>
      </c>
      <c r="D148" s="12">
        <v>850</v>
      </c>
      <c r="E148" s="2"/>
      <c r="F148" s="37">
        <f t="shared" si="34"/>
        <v>0</v>
      </c>
      <c r="G148" s="2"/>
      <c r="H148" s="12">
        <f t="shared" si="35"/>
        <v>0</v>
      </c>
      <c r="I148" s="2"/>
      <c r="J148" s="12">
        <v>850</v>
      </c>
      <c r="K148" s="2"/>
      <c r="L148" s="13">
        <f t="shared" si="36"/>
        <v>0</v>
      </c>
      <c r="M148" s="2"/>
      <c r="N148" s="12">
        <f t="shared" si="37"/>
        <v>0</v>
      </c>
      <c r="O148" s="2"/>
      <c r="P148" s="12">
        <v>850</v>
      </c>
    </row>
    <row r="149" spans="1:17" x14ac:dyDescent="0.25">
      <c r="A149" t="s">
        <v>84</v>
      </c>
      <c r="B149" t="s">
        <v>23</v>
      </c>
      <c r="C149" t="s">
        <v>24</v>
      </c>
      <c r="D149" s="12">
        <v>800</v>
      </c>
      <c r="E149" s="2"/>
      <c r="F149" s="37">
        <f t="shared" si="34"/>
        <v>0</v>
      </c>
      <c r="G149" s="2"/>
      <c r="H149" s="12">
        <f t="shared" si="35"/>
        <v>0</v>
      </c>
      <c r="I149" s="2"/>
      <c r="J149" s="12">
        <v>800</v>
      </c>
      <c r="K149" s="2"/>
      <c r="L149" s="13">
        <f t="shared" si="36"/>
        <v>0.33333333333333331</v>
      </c>
      <c r="M149" s="2"/>
      <c r="N149" s="12">
        <f t="shared" si="37"/>
        <v>200</v>
      </c>
      <c r="O149" s="2"/>
      <c r="P149" s="12">
        <v>600</v>
      </c>
    </row>
    <row r="150" spans="1:17" x14ac:dyDescent="0.25">
      <c r="A150" t="s">
        <v>84</v>
      </c>
      <c r="B150" t="s">
        <v>42</v>
      </c>
      <c r="C150" t="s">
        <v>43</v>
      </c>
      <c r="D150" s="12">
        <v>120</v>
      </c>
      <c r="E150" s="2"/>
      <c r="F150" s="37">
        <f t="shared" si="34"/>
        <v>0</v>
      </c>
      <c r="G150" s="2"/>
      <c r="H150" s="12">
        <f t="shared" si="35"/>
        <v>0</v>
      </c>
      <c r="I150" s="2"/>
      <c r="J150" s="12">
        <v>120</v>
      </c>
      <c r="K150" s="2"/>
      <c r="L150" s="13">
        <f t="shared" si="36"/>
        <v>0</v>
      </c>
      <c r="M150" s="2"/>
      <c r="N150" s="12">
        <f t="shared" si="37"/>
        <v>0</v>
      </c>
      <c r="O150" s="2"/>
      <c r="P150" s="12">
        <v>120</v>
      </c>
    </row>
    <row r="151" spans="1:17" x14ac:dyDescent="0.25">
      <c r="A151" t="s">
        <v>84</v>
      </c>
      <c r="B151" t="s">
        <v>87</v>
      </c>
      <c r="C151" t="s">
        <v>88</v>
      </c>
      <c r="D151" s="12">
        <v>200</v>
      </c>
      <c r="E151" s="2"/>
      <c r="F151" s="37">
        <f t="shared" si="34"/>
        <v>0</v>
      </c>
      <c r="G151" s="2"/>
      <c r="H151" s="12">
        <f t="shared" si="35"/>
        <v>0</v>
      </c>
      <c r="I151" s="2"/>
      <c r="J151" s="12">
        <v>200</v>
      </c>
      <c r="K151" s="2"/>
      <c r="L151" s="13">
        <f t="shared" si="36"/>
        <v>-0.8</v>
      </c>
      <c r="M151" s="2"/>
      <c r="N151" s="12">
        <f t="shared" si="37"/>
        <v>-800</v>
      </c>
      <c r="O151" s="2"/>
      <c r="P151" s="12">
        <v>1000</v>
      </c>
      <c r="Q151" t="s">
        <v>360</v>
      </c>
    </row>
    <row r="152" spans="1:17" x14ac:dyDescent="0.25">
      <c r="A152" t="s">
        <v>84</v>
      </c>
      <c r="B152" t="s">
        <v>80</v>
      </c>
      <c r="C152" t="s">
        <v>81</v>
      </c>
      <c r="D152" s="12">
        <v>3150</v>
      </c>
      <c r="E152" s="2"/>
      <c r="F152" s="37">
        <f t="shared" si="34"/>
        <v>0</v>
      </c>
      <c r="G152" s="2"/>
      <c r="H152" s="12">
        <f t="shared" si="35"/>
        <v>0</v>
      </c>
      <c r="I152" s="2"/>
      <c r="J152" s="12">
        <v>3150</v>
      </c>
      <c r="K152" s="2"/>
      <c r="L152" s="13">
        <f t="shared" si="36"/>
        <v>2.15</v>
      </c>
      <c r="M152" s="2"/>
      <c r="N152" s="12">
        <f t="shared" si="37"/>
        <v>2150</v>
      </c>
      <c r="O152" s="2"/>
      <c r="P152" s="12">
        <v>1000</v>
      </c>
      <c r="Q152" t="s">
        <v>359</v>
      </c>
    </row>
    <row r="153" spans="1:17" x14ac:dyDescent="0.25">
      <c r="D153" s="2"/>
      <c r="E153" s="2"/>
      <c r="F153" s="2"/>
      <c r="G153" s="2"/>
      <c r="H153" s="2"/>
      <c r="I153" s="2"/>
      <c r="J153" s="2"/>
      <c r="K153" s="2"/>
      <c r="M153" s="2"/>
      <c r="O153" s="2"/>
    </row>
    <row r="154" spans="1:17" x14ac:dyDescent="0.25">
      <c r="A154" t="s">
        <v>5</v>
      </c>
      <c r="B154" t="s">
        <v>5</v>
      </c>
      <c r="C154" s="1" t="s">
        <v>353</v>
      </c>
      <c r="D154" s="8">
        <f>SUM(D138:D152)</f>
        <v>150857</v>
      </c>
      <c r="E154" s="2"/>
      <c r="F154" s="15">
        <f>H154/J154</f>
        <v>0</v>
      </c>
      <c r="G154" s="2"/>
      <c r="H154" s="8">
        <f>SUM(H138:H152)</f>
        <v>0</v>
      </c>
      <c r="I154" s="2"/>
      <c r="J154" s="8">
        <f>SUM(J138:J152)</f>
        <v>150857</v>
      </c>
      <c r="K154" s="2"/>
      <c r="L154" s="15">
        <f>N154/P154</f>
        <v>-9.4512103623584212E-2</v>
      </c>
      <c r="M154" s="2"/>
      <c r="N154" s="8">
        <f>SUM(N138:N152)</f>
        <v>-15746</v>
      </c>
      <c r="O154" s="2"/>
      <c r="P154" s="8">
        <f>SUM(P138:P152)</f>
        <v>166603</v>
      </c>
    </row>
    <row r="155" spans="1:17" x14ac:dyDescent="0.25">
      <c r="D155" s="2"/>
      <c r="E155" s="2"/>
      <c r="F155" s="2"/>
      <c r="G155" s="2"/>
      <c r="H155" s="2"/>
      <c r="I155" s="2"/>
      <c r="J155" s="2"/>
      <c r="K155" s="2"/>
      <c r="M155" s="2"/>
      <c r="O155" s="2"/>
    </row>
    <row r="156" spans="1:17" ht="21" customHeight="1" x14ac:dyDescent="0.25">
      <c r="A156" t="s">
        <v>89</v>
      </c>
      <c r="B156" t="s">
        <v>90</v>
      </c>
      <c r="C156" t="s">
        <v>91</v>
      </c>
      <c r="D156" s="12">
        <f>J156*1.15</f>
        <v>34500</v>
      </c>
      <c r="E156" s="2"/>
      <c r="F156" s="37">
        <f t="shared" ref="F156:F165" si="38">H156/J156</f>
        <v>0.15</v>
      </c>
      <c r="G156" s="2"/>
      <c r="H156" s="12">
        <f t="shared" ref="H156:H165" si="39">D156-J156</f>
        <v>4500</v>
      </c>
      <c r="I156" s="2"/>
      <c r="J156" s="12">
        <v>30000</v>
      </c>
      <c r="K156" s="2"/>
      <c r="L156" s="13">
        <f t="shared" ref="L156:L165" si="40">N156/P156</f>
        <v>0</v>
      </c>
      <c r="M156" s="2"/>
      <c r="N156" s="12">
        <f t="shared" ref="N156:N165" si="41">J156-P156</f>
        <v>0</v>
      </c>
      <c r="O156" s="2"/>
      <c r="P156" s="12">
        <v>30000</v>
      </c>
      <c r="Q156" s="21" t="s">
        <v>414</v>
      </c>
    </row>
    <row r="157" spans="1:17" ht="21" customHeight="1" x14ac:dyDescent="0.25">
      <c r="A157" t="s">
        <v>89</v>
      </c>
      <c r="B157" t="s">
        <v>92</v>
      </c>
      <c r="C157" t="s">
        <v>93</v>
      </c>
      <c r="D157" s="12">
        <f t="shared" ref="D157:D164" si="42">ROUNDUP((J157*1.15),0)</f>
        <v>6650</v>
      </c>
      <c r="E157" s="2"/>
      <c r="F157" s="37">
        <f t="shared" si="38"/>
        <v>0.15012106537530268</v>
      </c>
      <c r="G157" s="2"/>
      <c r="H157" s="12">
        <f t="shared" si="39"/>
        <v>868</v>
      </c>
      <c r="I157" s="2"/>
      <c r="J157" s="12">
        <v>5782</v>
      </c>
      <c r="K157" s="2"/>
      <c r="L157" s="13">
        <f t="shared" si="40"/>
        <v>0</v>
      </c>
      <c r="M157" s="2"/>
      <c r="N157" s="12">
        <f t="shared" si="41"/>
        <v>0</v>
      </c>
      <c r="O157" s="2"/>
      <c r="P157" s="12">
        <v>5782</v>
      </c>
      <c r="Q157" s="21" t="s">
        <v>414</v>
      </c>
    </row>
    <row r="158" spans="1:17" ht="21" customHeight="1" x14ac:dyDescent="0.25">
      <c r="A158" t="s">
        <v>89</v>
      </c>
      <c r="B158" t="s">
        <v>94</v>
      </c>
      <c r="C158" t="s">
        <v>95</v>
      </c>
      <c r="D158" s="12">
        <f t="shared" si="42"/>
        <v>23033</v>
      </c>
      <c r="E158" s="2"/>
      <c r="F158" s="37">
        <f t="shared" si="38"/>
        <v>0.15003994407829038</v>
      </c>
      <c r="G158" s="2"/>
      <c r="H158" s="12">
        <f t="shared" si="39"/>
        <v>3005</v>
      </c>
      <c r="I158" s="2"/>
      <c r="J158" s="12">
        <v>20028</v>
      </c>
      <c r="K158" s="2"/>
      <c r="L158" s="13">
        <f t="shared" si="40"/>
        <v>0</v>
      </c>
      <c r="M158" s="2"/>
      <c r="N158" s="12">
        <f t="shared" si="41"/>
        <v>0</v>
      </c>
      <c r="O158" s="2"/>
      <c r="P158" s="12">
        <v>20028</v>
      </c>
      <c r="Q158" s="21" t="s">
        <v>414</v>
      </c>
    </row>
    <row r="159" spans="1:17" ht="21" customHeight="1" x14ac:dyDescent="0.25">
      <c r="A159" t="s">
        <v>89</v>
      </c>
      <c r="B159" t="s">
        <v>96</v>
      </c>
      <c r="C159" t="s">
        <v>97</v>
      </c>
      <c r="D159" s="12">
        <f t="shared" si="42"/>
        <v>6097</v>
      </c>
      <c r="E159" s="2"/>
      <c r="F159" s="37">
        <f t="shared" si="38"/>
        <v>0.15016034710431994</v>
      </c>
      <c r="G159" s="2"/>
      <c r="H159" s="12">
        <f t="shared" si="39"/>
        <v>796</v>
      </c>
      <c r="I159" s="2"/>
      <c r="J159" s="12">
        <v>5301</v>
      </c>
      <c r="K159" s="2"/>
      <c r="L159" s="13">
        <f t="shared" si="40"/>
        <v>0</v>
      </c>
      <c r="M159" s="2"/>
      <c r="N159" s="12">
        <f t="shared" si="41"/>
        <v>0</v>
      </c>
      <c r="O159" s="2"/>
      <c r="P159" s="12">
        <v>5301</v>
      </c>
      <c r="Q159" s="21" t="s">
        <v>414</v>
      </c>
    </row>
    <row r="160" spans="1:17" ht="21" customHeight="1" x14ac:dyDescent="0.25">
      <c r="A160" t="s">
        <v>89</v>
      </c>
      <c r="B160" t="s">
        <v>98</v>
      </c>
      <c r="C160" t="s">
        <v>99</v>
      </c>
      <c r="D160" s="12">
        <f t="shared" si="42"/>
        <v>43728</v>
      </c>
      <c r="E160" s="2"/>
      <c r="F160" s="37">
        <f t="shared" si="38"/>
        <v>0.15001051967178625</v>
      </c>
      <c r="G160" s="2"/>
      <c r="H160" s="12">
        <f t="shared" si="39"/>
        <v>5704</v>
      </c>
      <c r="I160" s="2"/>
      <c r="J160" s="12">
        <v>38024</v>
      </c>
      <c r="K160" s="2"/>
      <c r="L160" s="13">
        <f t="shared" si="40"/>
        <v>0</v>
      </c>
      <c r="M160" s="2"/>
      <c r="N160" s="12">
        <f t="shared" si="41"/>
        <v>0</v>
      </c>
      <c r="O160" s="2"/>
      <c r="P160" s="12">
        <v>38024</v>
      </c>
      <c r="Q160" s="21" t="s">
        <v>414</v>
      </c>
    </row>
    <row r="161" spans="1:17" ht="21" customHeight="1" x14ac:dyDescent="0.25">
      <c r="A161" t="s">
        <v>89</v>
      </c>
      <c r="B161" t="s">
        <v>100</v>
      </c>
      <c r="C161" t="s">
        <v>101</v>
      </c>
      <c r="D161" s="12">
        <f t="shared" si="42"/>
        <v>489</v>
      </c>
      <c r="E161" s="2"/>
      <c r="F161" s="37">
        <f t="shared" si="38"/>
        <v>0.15058823529411763</v>
      </c>
      <c r="G161" s="2"/>
      <c r="H161" s="12">
        <f t="shared" si="39"/>
        <v>64</v>
      </c>
      <c r="I161" s="2"/>
      <c r="J161" s="12">
        <v>425</v>
      </c>
      <c r="K161" s="2"/>
      <c r="L161" s="13">
        <f t="shared" si="40"/>
        <v>0</v>
      </c>
      <c r="M161" s="2"/>
      <c r="N161" s="12">
        <f t="shared" si="41"/>
        <v>0</v>
      </c>
      <c r="O161" s="2"/>
      <c r="P161" s="12">
        <v>425</v>
      </c>
      <c r="Q161" s="21" t="s">
        <v>414</v>
      </c>
    </row>
    <row r="162" spans="1:17" ht="21" customHeight="1" x14ac:dyDescent="0.25">
      <c r="A162" t="s">
        <v>89</v>
      </c>
      <c r="B162" t="s">
        <v>102</v>
      </c>
      <c r="C162" t="s">
        <v>103</v>
      </c>
      <c r="D162" s="12">
        <f t="shared" si="42"/>
        <v>1777</v>
      </c>
      <c r="E162" s="2"/>
      <c r="F162" s="37">
        <f t="shared" si="38"/>
        <v>0.15016181229773462</v>
      </c>
      <c r="G162" s="2"/>
      <c r="H162" s="12">
        <f t="shared" si="39"/>
        <v>232</v>
      </c>
      <c r="I162" s="2"/>
      <c r="J162" s="12">
        <v>1545</v>
      </c>
      <c r="K162" s="2"/>
      <c r="L162" s="13">
        <f t="shared" si="40"/>
        <v>0</v>
      </c>
      <c r="M162" s="2"/>
      <c r="N162" s="12">
        <f t="shared" si="41"/>
        <v>0</v>
      </c>
      <c r="O162" s="2"/>
      <c r="P162" s="12">
        <v>1545</v>
      </c>
      <c r="Q162" s="21" t="s">
        <v>414</v>
      </c>
    </row>
    <row r="163" spans="1:17" ht="21" customHeight="1" x14ac:dyDescent="0.25">
      <c r="A163" t="s">
        <v>89</v>
      </c>
      <c r="B163" t="s">
        <v>104</v>
      </c>
      <c r="C163" t="s">
        <v>105</v>
      </c>
      <c r="D163" s="12">
        <f t="shared" si="42"/>
        <v>2371</v>
      </c>
      <c r="E163" s="2"/>
      <c r="F163" s="37">
        <f t="shared" si="38"/>
        <v>0.15041242115477924</v>
      </c>
      <c r="G163" s="2"/>
      <c r="H163" s="12">
        <f t="shared" si="39"/>
        <v>310</v>
      </c>
      <c r="I163" s="2"/>
      <c r="J163" s="12">
        <v>2061</v>
      </c>
      <c r="K163" s="2"/>
      <c r="L163" s="13">
        <f t="shared" si="40"/>
        <v>0</v>
      </c>
      <c r="M163" s="2"/>
      <c r="N163" s="12">
        <f t="shared" si="41"/>
        <v>0</v>
      </c>
      <c r="O163" s="2"/>
      <c r="P163" s="12">
        <v>2061</v>
      </c>
      <c r="Q163" s="21" t="s">
        <v>414</v>
      </c>
    </row>
    <row r="164" spans="1:17" ht="21" customHeight="1" x14ac:dyDescent="0.25">
      <c r="A164" t="s">
        <v>89</v>
      </c>
      <c r="B164" t="s">
        <v>106</v>
      </c>
      <c r="C164" t="s">
        <v>107</v>
      </c>
      <c r="D164" s="12">
        <f t="shared" si="42"/>
        <v>3422</v>
      </c>
      <c r="E164" s="2"/>
      <c r="F164" s="37">
        <f t="shared" si="38"/>
        <v>0.15025210084033613</v>
      </c>
      <c r="G164" s="2"/>
      <c r="H164" s="12">
        <f t="shared" si="39"/>
        <v>447</v>
      </c>
      <c r="I164" s="2"/>
      <c r="J164" s="12">
        <v>2975</v>
      </c>
      <c r="K164" s="2"/>
      <c r="L164" s="13">
        <f t="shared" si="40"/>
        <v>0</v>
      </c>
      <c r="M164" s="2"/>
      <c r="N164" s="12">
        <f t="shared" si="41"/>
        <v>0</v>
      </c>
      <c r="O164" s="2"/>
      <c r="P164" s="12">
        <v>2975</v>
      </c>
      <c r="Q164" s="21" t="s">
        <v>414</v>
      </c>
    </row>
    <row r="165" spans="1:17" ht="21" customHeight="1" x14ac:dyDescent="0.25">
      <c r="A165" t="s">
        <v>89</v>
      </c>
      <c r="B165" t="s">
        <v>108</v>
      </c>
      <c r="C165" t="s">
        <v>109</v>
      </c>
      <c r="D165" s="12">
        <f t="shared" ref="D165" si="43">J165*1.15</f>
        <v>1449</v>
      </c>
      <c r="E165" s="2"/>
      <c r="F165" s="37">
        <f t="shared" si="38"/>
        <v>0.15</v>
      </c>
      <c r="G165" s="2"/>
      <c r="H165" s="12">
        <f t="shared" si="39"/>
        <v>189</v>
      </c>
      <c r="I165" s="2"/>
      <c r="J165" s="12">
        <v>1260</v>
      </c>
      <c r="K165" s="2"/>
      <c r="L165" s="13">
        <f t="shared" si="40"/>
        <v>0</v>
      </c>
      <c r="M165" s="2"/>
      <c r="N165" s="12">
        <f t="shared" si="41"/>
        <v>0</v>
      </c>
      <c r="O165" s="2"/>
      <c r="P165" s="12">
        <v>1260</v>
      </c>
      <c r="Q165" s="21" t="s">
        <v>414</v>
      </c>
    </row>
    <row r="166" spans="1:17" x14ac:dyDescent="0.25">
      <c r="D166" s="2"/>
      <c r="E166" s="2"/>
      <c r="F166" s="2"/>
      <c r="G166" s="2"/>
      <c r="H166" s="2"/>
      <c r="I166" s="2"/>
      <c r="J166" s="2"/>
      <c r="K166" s="2"/>
      <c r="M166" s="2"/>
      <c r="O166" s="2"/>
    </row>
    <row r="167" spans="1:17" x14ac:dyDescent="0.25">
      <c r="A167" t="s">
        <v>5</v>
      </c>
      <c r="B167" t="s">
        <v>5</v>
      </c>
      <c r="C167" s="1" t="s">
        <v>361</v>
      </c>
      <c r="D167" s="8">
        <f>SUM(D156:D165)</f>
        <v>123516</v>
      </c>
      <c r="E167" s="2"/>
      <c r="F167" s="15">
        <f>H167/J167</f>
        <v>0.15004515786631409</v>
      </c>
      <c r="G167" s="2"/>
      <c r="H167" s="8">
        <f>SUM(H156:H165)</f>
        <v>16115</v>
      </c>
      <c r="I167" s="2"/>
      <c r="J167" s="8">
        <f>SUM(J156:J165)</f>
        <v>107401</v>
      </c>
      <c r="K167" s="2"/>
      <c r="L167" s="8">
        <f>N167/P167</f>
        <v>0</v>
      </c>
      <c r="M167" s="2"/>
      <c r="N167" s="8">
        <f>SUM(N156:N165)</f>
        <v>0</v>
      </c>
      <c r="O167" s="2"/>
      <c r="P167" s="8">
        <f>SUM(P156:P165)</f>
        <v>107401</v>
      </c>
    </row>
    <row r="168" spans="1:17" x14ac:dyDescent="0.25">
      <c r="D168" s="2"/>
      <c r="E168" s="2"/>
      <c r="F168" s="2"/>
      <c r="G168" s="2"/>
      <c r="H168" s="2"/>
      <c r="I168" s="2"/>
      <c r="J168" s="2"/>
      <c r="K168" s="2"/>
      <c r="M168" s="2"/>
      <c r="O168" s="2"/>
    </row>
    <row r="169" spans="1:17" x14ac:dyDescent="0.25">
      <c r="A169" t="s">
        <v>110</v>
      </c>
      <c r="B169" t="s">
        <v>111</v>
      </c>
      <c r="C169" s="30" t="s">
        <v>112</v>
      </c>
      <c r="D169" s="12">
        <v>31200</v>
      </c>
      <c r="E169" s="2"/>
      <c r="F169" s="37">
        <f t="shared" ref="F169:F172" si="44">H169/J169</f>
        <v>0.18857142857142858</v>
      </c>
      <c r="G169" s="2"/>
      <c r="H169" s="12">
        <f t="shared" ref="H169:H172" si="45">D169-J169</f>
        <v>4950</v>
      </c>
      <c r="I169" s="2"/>
      <c r="J169" s="12">
        <v>26250</v>
      </c>
      <c r="K169" s="2"/>
      <c r="L169" s="13">
        <f t="shared" ref="L169:L172" si="46">N169/P169</f>
        <v>0.25</v>
      </c>
      <c r="M169" s="2"/>
      <c r="N169" s="12">
        <f t="shared" ref="N169:N172" si="47">J169-P169</f>
        <v>5250</v>
      </c>
      <c r="O169" s="2"/>
      <c r="P169" s="9">
        <v>21000</v>
      </c>
    </row>
    <row r="170" spans="1:17" x14ac:dyDescent="0.25">
      <c r="A170" t="s">
        <v>110</v>
      </c>
      <c r="B170" t="s">
        <v>113</v>
      </c>
      <c r="C170" s="30" t="s">
        <v>114</v>
      </c>
      <c r="D170" s="12">
        <v>14256</v>
      </c>
      <c r="E170" s="2"/>
      <c r="F170" s="37">
        <f t="shared" si="44"/>
        <v>0</v>
      </c>
      <c r="G170" s="2"/>
      <c r="H170" s="12">
        <f t="shared" si="45"/>
        <v>0</v>
      </c>
      <c r="I170" s="2"/>
      <c r="J170" s="12">
        <v>14256</v>
      </c>
      <c r="K170" s="2"/>
      <c r="L170" s="13">
        <f t="shared" si="46"/>
        <v>2.8497222422624629E-2</v>
      </c>
      <c r="M170" s="2"/>
      <c r="N170" s="12">
        <f t="shared" si="47"/>
        <v>395</v>
      </c>
      <c r="O170" s="2"/>
      <c r="P170" s="9">
        <v>13861</v>
      </c>
    </row>
    <row r="171" spans="1:17" x14ac:dyDescent="0.25">
      <c r="A171" t="s">
        <v>110</v>
      </c>
      <c r="B171" t="s">
        <v>115</v>
      </c>
      <c r="C171" s="30" t="s">
        <v>116</v>
      </c>
      <c r="D171" s="12">
        <f>ROUNDUP((252369.49),0)</f>
        <v>252370</v>
      </c>
      <c r="E171" s="2"/>
      <c r="F171" s="37">
        <f t="shared" si="44"/>
        <v>7.7123346137430646E-2</v>
      </c>
      <c r="G171" s="2"/>
      <c r="H171" s="12">
        <f t="shared" si="45"/>
        <v>18070</v>
      </c>
      <c r="I171" s="2"/>
      <c r="J171" s="12">
        <v>234300</v>
      </c>
      <c r="K171" s="2"/>
      <c r="L171" s="13">
        <f t="shared" si="46"/>
        <v>6.1141304347826088E-2</v>
      </c>
      <c r="M171" s="2"/>
      <c r="N171" s="12">
        <f t="shared" si="47"/>
        <v>13500</v>
      </c>
      <c r="O171" s="2"/>
      <c r="P171" s="9">
        <v>220800</v>
      </c>
      <c r="Q171" s="21"/>
    </row>
    <row r="172" spans="1:17" x14ac:dyDescent="0.25">
      <c r="A172" t="s">
        <v>110</v>
      </c>
      <c r="B172" t="s">
        <v>69</v>
      </c>
      <c r="C172" s="30" t="s">
        <v>70</v>
      </c>
      <c r="D172" s="12">
        <v>62000</v>
      </c>
      <c r="E172" s="2"/>
      <c r="F172" s="37">
        <f t="shared" si="44"/>
        <v>1.5833333333333333</v>
      </c>
      <c r="G172" s="2"/>
      <c r="H172" s="12">
        <f t="shared" si="45"/>
        <v>38000</v>
      </c>
      <c r="I172" s="2"/>
      <c r="J172" s="12">
        <v>24000</v>
      </c>
      <c r="K172" s="2"/>
      <c r="L172" s="13">
        <f t="shared" si="46"/>
        <v>0</v>
      </c>
      <c r="M172" s="2"/>
      <c r="N172" s="12">
        <f t="shared" si="47"/>
        <v>0</v>
      </c>
      <c r="O172" s="2"/>
      <c r="P172" s="9">
        <v>24000</v>
      </c>
    </row>
    <row r="173" spans="1:17" x14ac:dyDescent="0.25">
      <c r="D173" s="2"/>
      <c r="E173" s="2"/>
      <c r="F173" s="2"/>
      <c r="G173" s="2"/>
      <c r="H173" s="2"/>
      <c r="I173" s="2"/>
      <c r="J173" s="2"/>
      <c r="K173" s="2"/>
      <c r="M173" s="2"/>
      <c r="O173" s="2"/>
    </row>
    <row r="174" spans="1:17" x14ac:dyDescent="0.25">
      <c r="A174" t="s">
        <v>5</v>
      </c>
      <c r="B174" t="s">
        <v>5</v>
      </c>
      <c r="C174" s="1" t="s">
        <v>362</v>
      </c>
      <c r="D174" s="8">
        <f>SUM(D169:D172)</f>
        <v>359826</v>
      </c>
      <c r="E174" s="2"/>
      <c r="F174" s="15">
        <f>H174/J174</f>
        <v>0.20421276681191142</v>
      </c>
      <c r="G174" s="2"/>
      <c r="H174" s="8">
        <f>SUM(H169:H173)</f>
        <v>61020</v>
      </c>
      <c r="I174" s="2"/>
      <c r="J174" s="8">
        <f>SUM(J169:J172)</f>
        <v>298806</v>
      </c>
      <c r="K174" s="2"/>
      <c r="L174" s="15">
        <f>N174/P174</f>
        <v>6.8457882936841394E-2</v>
      </c>
      <c r="M174" s="2"/>
      <c r="N174" s="8">
        <f>SUM(N169:N172)</f>
        <v>19145</v>
      </c>
      <c r="O174" s="2"/>
      <c r="P174" s="8">
        <f>SUM(P169:P172)</f>
        <v>279661</v>
      </c>
    </row>
    <row r="175" spans="1:17" x14ac:dyDescent="0.25">
      <c r="D175" s="2"/>
      <c r="E175" s="2"/>
      <c r="F175" s="2"/>
      <c r="G175" s="2"/>
      <c r="H175" s="2"/>
      <c r="I175" s="2"/>
      <c r="J175" s="2"/>
      <c r="K175" s="2"/>
      <c r="M175" s="2"/>
      <c r="O175" s="2"/>
    </row>
    <row r="176" spans="1:17" x14ac:dyDescent="0.25">
      <c r="A176" s="20" t="s">
        <v>396</v>
      </c>
      <c r="B176" s="20" t="s">
        <v>397</v>
      </c>
      <c r="C176" t="s">
        <v>402</v>
      </c>
      <c r="D176" s="47">
        <v>4799493</v>
      </c>
      <c r="E176" s="2"/>
      <c r="F176" s="37">
        <f t="shared" ref="F176:F179" si="48">H176/J176</f>
        <v>8.6501442143459145E-2</v>
      </c>
      <c r="G176" s="2"/>
      <c r="H176" s="12">
        <f t="shared" ref="H176:H179" si="49">D176-J176</f>
        <v>382110</v>
      </c>
      <c r="I176" s="2"/>
      <c r="J176" s="12">
        <v>4417383</v>
      </c>
      <c r="K176" s="2"/>
      <c r="L176" s="13">
        <f t="shared" ref="L176:L179" si="50">N176/P176</f>
        <v>0</v>
      </c>
      <c r="M176" s="2"/>
      <c r="N176" s="12">
        <f>J176-P176</f>
        <v>0</v>
      </c>
      <c r="O176" s="2"/>
      <c r="P176" s="9">
        <v>4417383</v>
      </c>
    </row>
    <row r="177" spans="1:17" x14ac:dyDescent="0.25">
      <c r="A177" s="20" t="s">
        <v>396</v>
      </c>
      <c r="B177" s="20" t="s">
        <v>398</v>
      </c>
      <c r="C177" t="s">
        <v>403</v>
      </c>
      <c r="D177" s="47">
        <v>2448583</v>
      </c>
      <c r="E177" s="2"/>
      <c r="F177" s="37">
        <f t="shared" si="48"/>
        <v>-0.14229593482720923</v>
      </c>
      <c r="G177" s="2"/>
      <c r="H177" s="12">
        <f t="shared" si="49"/>
        <v>-406228</v>
      </c>
      <c r="I177" s="2"/>
      <c r="J177" s="12">
        <v>2854811</v>
      </c>
      <c r="K177" s="2"/>
      <c r="L177" s="13">
        <f t="shared" si="50"/>
        <v>-1.0624619645755905E-2</v>
      </c>
      <c r="M177" s="2"/>
      <c r="N177" s="12">
        <f t="shared" ref="N177:N179" si="51">J177-P177</f>
        <v>-30657</v>
      </c>
      <c r="O177" s="2"/>
      <c r="P177" s="9">
        <v>2885468</v>
      </c>
    </row>
    <row r="178" spans="1:17" x14ac:dyDescent="0.25">
      <c r="A178" s="20" t="s">
        <v>396</v>
      </c>
      <c r="B178" s="20" t="s">
        <v>399</v>
      </c>
      <c r="C178" t="s">
        <v>404</v>
      </c>
      <c r="D178" s="47">
        <v>430229</v>
      </c>
      <c r="E178" s="2"/>
      <c r="F178" s="37">
        <f t="shared" si="48"/>
        <v>-1.957750330431612E-2</v>
      </c>
      <c r="G178" s="2"/>
      <c r="H178" s="12">
        <f t="shared" si="49"/>
        <v>-8591</v>
      </c>
      <c r="I178" s="2"/>
      <c r="J178" s="12">
        <v>438820</v>
      </c>
      <c r="K178" s="2"/>
      <c r="L178" s="13">
        <f t="shared" si="50"/>
        <v>0</v>
      </c>
      <c r="M178" s="2"/>
      <c r="N178" s="12">
        <f t="shared" si="51"/>
        <v>0</v>
      </c>
      <c r="O178" s="2"/>
      <c r="P178" s="9">
        <v>438820</v>
      </c>
    </row>
    <row r="179" spans="1:17" x14ac:dyDescent="0.25">
      <c r="A179" s="20" t="s">
        <v>396</v>
      </c>
      <c r="B179" s="20" t="s">
        <v>400</v>
      </c>
      <c r="C179" t="s">
        <v>405</v>
      </c>
      <c r="D179" s="47">
        <v>17418</v>
      </c>
      <c r="E179" s="2"/>
      <c r="F179" s="37">
        <f t="shared" si="48"/>
        <v>-0.20349368940918236</v>
      </c>
      <c r="G179" s="2"/>
      <c r="H179" s="12">
        <f t="shared" si="49"/>
        <v>-4450</v>
      </c>
      <c r="I179" s="2"/>
      <c r="J179" s="12">
        <v>21868</v>
      </c>
      <c r="K179" s="2"/>
      <c r="L179" s="13">
        <f t="shared" si="50"/>
        <v>0</v>
      </c>
      <c r="M179" s="2"/>
      <c r="N179" s="12">
        <f t="shared" si="51"/>
        <v>0</v>
      </c>
      <c r="O179" s="2"/>
      <c r="P179" s="9">
        <v>21868</v>
      </c>
    </row>
    <row r="180" spans="1:17" x14ac:dyDescent="0.25">
      <c r="B180" s="20"/>
      <c r="D180" s="2"/>
      <c r="E180" s="2"/>
      <c r="F180" s="2"/>
      <c r="G180" s="2"/>
      <c r="H180" s="2"/>
      <c r="I180" s="2"/>
      <c r="J180" s="2"/>
      <c r="K180" s="2"/>
      <c r="M180" s="2"/>
      <c r="O180" s="2"/>
    </row>
    <row r="181" spans="1:17" x14ac:dyDescent="0.25">
      <c r="B181" s="20"/>
      <c r="C181" s="1" t="s">
        <v>401</v>
      </c>
      <c r="D181" s="8">
        <f>SUM(D176:D179)</f>
        <v>7695723</v>
      </c>
      <c r="E181" s="2"/>
      <c r="F181" s="15">
        <f>H181/J181</f>
        <v>-4.8053235520728235E-3</v>
      </c>
      <c r="G181" s="2"/>
      <c r="H181" s="8">
        <f>SUM(H176:H179)</f>
        <v>-37159</v>
      </c>
      <c r="I181" s="2"/>
      <c r="J181" s="8">
        <f>SUM(J176:J179)</f>
        <v>7732882</v>
      </c>
      <c r="K181" s="2"/>
      <c r="L181" s="29">
        <f>SUM(L176:L179)</f>
        <v>-1.0624619645755905E-2</v>
      </c>
      <c r="M181" s="2"/>
      <c r="N181" s="8">
        <f>SUM(N176:N179)</f>
        <v>-30657</v>
      </c>
      <c r="O181" s="2"/>
      <c r="P181" s="8">
        <f>SUM(P176:P179)</f>
        <v>7763539</v>
      </c>
    </row>
    <row r="182" spans="1:17" x14ac:dyDescent="0.25">
      <c r="D182" s="2"/>
      <c r="E182" s="2"/>
      <c r="F182" s="2"/>
      <c r="G182" s="2"/>
      <c r="H182" s="2"/>
      <c r="I182" s="2"/>
      <c r="J182" s="2"/>
      <c r="K182" s="2"/>
      <c r="M182" s="2"/>
      <c r="O182" s="2"/>
    </row>
    <row r="183" spans="1:17" x14ac:dyDescent="0.25">
      <c r="A183" t="s">
        <v>117</v>
      </c>
      <c r="B183" t="s">
        <v>30</v>
      </c>
      <c r="C183" t="s">
        <v>79</v>
      </c>
      <c r="D183" s="12">
        <f>ROUNDUP((15782.88),0)</f>
        <v>15783</v>
      </c>
      <c r="E183" s="2"/>
      <c r="F183" s="37">
        <f t="shared" ref="F183:F197" si="52">H183/J183</f>
        <v>0</v>
      </c>
      <c r="G183" s="2"/>
      <c r="H183" s="12">
        <f t="shared" ref="H183:H197" si="53">D183-J183</f>
        <v>0</v>
      </c>
      <c r="I183" s="2"/>
      <c r="J183" s="12">
        <f>ROUNDUP((15782.88),0)</f>
        <v>15783</v>
      </c>
      <c r="K183" s="2"/>
      <c r="L183" s="13">
        <f t="shared" ref="L183:L197" si="54">N183/P183</f>
        <v>-2.0905707196029778E-2</v>
      </c>
      <c r="M183" s="2"/>
      <c r="N183" s="12">
        <f t="shared" ref="N183:N197" si="55">J183-P183</f>
        <v>-337</v>
      </c>
      <c r="O183" s="2"/>
      <c r="P183" s="12">
        <v>16120</v>
      </c>
    </row>
    <row r="184" spans="1:17" x14ac:dyDescent="0.25">
      <c r="A184" t="s">
        <v>117</v>
      </c>
      <c r="B184" t="s">
        <v>34</v>
      </c>
      <c r="C184" t="s">
        <v>35</v>
      </c>
      <c r="D184" s="12">
        <f>ROUNDUP((58.8),0)</f>
        <v>59</v>
      </c>
      <c r="E184" s="2"/>
      <c r="F184" s="37">
        <f t="shared" si="52"/>
        <v>0</v>
      </c>
      <c r="G184" s="2"/>
      <c r="H184" s="12">
        <f t="shared" si="53"/>
        <v>0</v>
      </c>
      <c r="I184" s="2"/>
      <c r="J184" s="12">
        <f>ROUNDUP((58.8),0)</f>
        <v>59</v>
      </c>
      <c r="K184" s="2"/>
      <c r="L184" s="13">
        <f t="shared" si="54"/>
        <v>-0.21333333333333335</v>
      </c>
      <c r="M184" s="2"/>
      <c r="N184" s="12">
        <f t="shared" si="55"/>
        <v>-16</v>
      </c>
      <c r="O184" s="2"/>
      <c r="P184" s="12">
        <v>75</v>
      </c>
    </row>
    <row r="185" spans="1:17" x14ac:dyDescent="0.25">
      <c r="A185" t="s">
        <v>117</v>
      </c>
      <c r="B185" t="s">
        <v>9</v>
      </c>
      <c r="C185" t="s">
        <v>10</v>
      </c>
      <c r="D185" s="12">
        <f>ROUNDUP((612.52),0)</f>
        <v>613</v>
      </c>
      <c r="E185" s="2"/>
      <c r="F185" s="37">
        <f t="shared" si="52"/>
        <v>0</v>
      </c>
      <c r="G185" s="2"/>
      <c r="H185" s="12">
        <f t="shared" si="53"/>
        <v>0</v>
      </c>
      <c r="I185" s="2"/>
      <c r="J185" s="12">
        <f>ROUNDUP((612.52),0)</f>
        <v>613</v>
      </c>
      <c r="K185" s="2"/>
      <c r="L185" s="13">
        <f t="shared" si="54"/>
        <v>0.16318785578747627</v>
      </c>
      <c r="M185" s="2"/>
      <c r="N185" s="12">
        <f t="shared" si="55"/>
        <v>86</v>
      </c>
      <c r="O185" s="2"/>
      <c r="P185" s="12">
        <v>527</v>
      </c>
    </row>
    <row r="186" spans="1:17" x14ac:dyDescent="0.25">
      <c r="A186" t="s">
        <v>117</v>
      </c>
      <c r="B186" t="s">
        <v>11</v>
      </c>
      <c r="C186" t="s">
        <v>118</v>
      </c>
      <c r="D186" s="12">
        <f>ROUNDUP((1016.14),0)</f>
        <v>1017</v>
      </c>
      <c r="E186" s="2"/>
      <c r="F186" s="37">
        <f t="shared" si="52"/>
        <v>0</v>
      </c>
      <c r="G186" s="2"/>
      <c r="H186" s="12">
        <f t="shared" si="53"/>
        <v>0</v>
      </c>
      <c r="I186" s="2"/>
      <c r="J186" s="12">
        <f>ROUNDUP((1016.14),0)</f>
        <v>1017</v>
      </c>
      <c r="K186" s="2"/>
      <c r="L186" s="13">
        <f t="shared" si="54"/>
        <v>-0.17518248175182483</v>
      </c>
      <c r="M186" s="2"/>
      <c r="N186" s="12">
        <f t="shared" si="55"/>
        <v>-216</v>
      </c>
      <c r="O186" s="2"/>
      <c r="P186" s="12">
        <v>1233</v>
      </c>
    </row>
    <row r="187" spans="1:17" x14ac:dyDescent="0.25">
      <c r="A187" t="s">
        <v>117</v>
      </c>
      <c r="B187" t="s">
        <v>15</v>
      </c>
      <c r="C187" t="s">
        <v>16</v>
      </c>
      <c r="D187" s="12">
        <v>6500</v>
      </c>
      <c r="E187" s="2"/>
      <c r="F187" s="37">
        <f t="shared" si="52"/>
        <v>0</v>
      </c>
      <c r="G187" s="2"/>
      <c r="H187" s="12">
        <f t="shared" si="53"/>
        <v>0</v>
      </c>
      <c r="I187" s="2"/>
      <c r="J187" s="12">
        <v>6500</v>
      </c>
      <c r="K187" s="2"/>
      <c r="L187" s="13">
        <f t="shared" si="54"/>
        <v>0</v>
      </c>
      <c r="M187" s="2"/>
      <c r="N187" s="12">
        <f t="shared" si="55"/>
        <v>0</v>
      </c>
      <c r="O187" s="2"/>
      <c r="P187" s="12">
        <v>6500</v>
      </c>
    </row>
    <row r="188" spans="1:17" x14ac:dyDescent="0.25">
      <c r="A188" t="s">
        <v>117</v>
      </c>
      <c r="B188" t="s">
        <v>51</v>
      </c>
      <c r="C188" t="s">
        <v>52</v>
      </c>
      <c r="D188" s="12">
        <v>0</v>
      </c>
      <c r="E188" s="2"/>
      <c r="F188" s="37">
        <v>-1</v>
      </c>
      <c r="G188" s="2"/>
      <c r="H188" s="12">
        <f t="shared" si="53"/>
        <v>0</v>
      </c>
      <c r="I188" s="2"/>
      <c r="J188" s="12">
        <v>0</v>
      </c>
      <c r="K188" s="2"/>
      <c r="L188" s="13">
        <f t="shared" si="54"/>
        <v>-1</v>
      </c>
      <c r="M188" s="2"/>
      <c r="N188" s="12">
        <f t="shared" si="55"/>
        <v>-20000</v>
      </c>
      <c r="O188" s="2"/>
      <c r="P188" s="12">
        <v>20000</v>
      </c>
    </row>
    <row r="189" spans="1:17" x14ac:dyDescent="0.25">
      <c r="A189" t="s">
        <v>117</v>
      </c>
      <c r="B189" t="s">
        <v>119</v>
      </c>
      <c r="C189" t="s">
        <v>120</v>
      </c>
      <c r="D189" s="12">
        <v>48000</v>
      </c>
      <c r="E189" s="2"/>
      <c r="F189" s="37">
        <f t="shared" si="52"/>
        <v>0</v>
      </c>
      <c r="G189" s="2"/>
      <c r="H189" s="12">
        <f t="shared" si="53"/>
        <v>0</v>
      </c>
      <c r="I189" s="2"/>
      <c r="J189" s="12">
        <v>48000</v>
      </c>
      <c r="K189" s="2"/>
      <c r="L189" s="13">
        <f t="shared" si="54"/>
        <v>0</v>
      </c>
      <c r="M189" s="2"/>
      <c r="N189" s="12">
        <f t="shared" si="55"/>
        <v>0</v>
      </c>
      <c r="O189" s="2"/>
      <c r="P189" s="12">
        <v>48000</v>
      </c>
    </row>
    <row r="190" spans="1:17" x14ac:dyDescent="0.25">
      <c r="A190" t="s">
        <v>117</v>
      </c>
      <c r="B190" t="s">
        <v>121</v>
      </c>
      <c r="C190" t="s">
        <v>122</v>
      </c>
      <c r="D190" s="12">
        <v>2622</v>
      </c>
      <c r="E190" s="2"/>
      <c r="F190" s="37">
        <f t="shared" si="52"/>
        <v>0.14000000000000001</v>
      </c>
      <c r="G190" s="2"/>
      <c r="H190" s="12">
        <f t="shared" si="53"/>
        <v>322</v>
      </c>
      <c r="I190" s="2"/>
      <c r="J190" s="12">
        <v>2300</v>
      </c>
      <c r="K190" s="2"/>
      <c r="L190" s="13">
        <f t="shared" si="54"/>
        <v>0</v>
      </c>
      <c r="M190" s="2"/>
      <c r="N190" s="12">
        <f t="shared" si="55"/>
        <v>0</v>
      </c>
      <c r="O190" s="2"/>
      <c r="P190" s="12">
        <v>2300</v>
      </c>
    </row>
    <row r="191" spans="1:17" x14ac:dyDescent="0.25">
      <c r="A191" t="s">
        <v>117</v>
      </c>
      <c r="B191" t="s">
        <v>123</v>
      </c>
      <c r="C191" t="s">
        <v>124</v>
      </c>
      <c r="D191" s="12">
        <v>10500</v>
      </c>
      <c r="E191" s="2"/>
      <c r="F191" s="37">
        <f t="shared" si="52"/>
        <v>0</v>
      </c>
      <c r="G191" s="2"/>
      <c r="H191" s="12">
        <f t="shared" si="53"/>
        <v>0</v>
      </c>
      <c r="I191" s="2"/>
      <c r="J191" s="12">
        <v>10500</v>
      </c>
      <c r="K191" s="2"/>
      <c r="L191" s="13">
        <f t="shared" si="54"/>
        <v>0</v>
      </c>
      <c r="M191" s="2"/>
      <c r="N191" s="12">
        <f t="shared" si="55"/>
        <v>0</v>
      </c>
      <c r="O191" s="2"/>
      <c r="P191" s="12">
        <v>10500</v>
      </c>
    </row>
    <row r="192" spans="1:17" x14ac:dyDescent="0.25">
      <c r="A192" t="s">
        <v>117</v>
      </c>
      <c r="B192" t="s">
        <v>125</v>
      </c>
      <c r="C192" t="s">
        <v>126</v>
      </c>
      <c r="D192" s="12">
        <f>ROUNDUP((856.96),0)</f>
        <v>857</v>
      </c>
      <c r="E192" s="2"/>
      <c r="F192" s="37">
        <f t="shared" si="52"/>
        <v>4.0048543689320391E-2</v>
      </c>
      <c r="G192" s="2"/>
      <c r="H192" s="12">
        <f t="shared" si="53"/>
        <v>33</v>
      </c>
      <c r="I192" s="2"/>
      <c r="J192" s="12">
        <v>824</v>
      </c>
      <c r="K192" s="2"/>
      <c r="L192" s="13">
        <f t="shared" si="54"/>
        <v>0</v>
      </c>
      <c r="M192" s="2"/>
      <c r="N192" s="12">
        <f t="shared" si="55"/>
        <v>0</v>
      </c>
      <c r="O192" s="2"/>
      <c r="P192" s="12">
        <v>824</v>
      </c>
      <c r="Q192" t="s">
        <v>426</v>
      </c>
    </row>
    <row r="193" spans="1:17" x14ac:dyDescent="0.25">
      <c r="A193" t="s">
        <v>117</v>
      </c>
      <c r="B193" t="s">
        <v>127</v>
      </c>
      <c r="C193" t="s">
        <v>128</v>
      </c>
      <c r="D193" s="12">
        <v>20000</v>
      </c>
      <c r="E193" s="2"/>
      <c r="F193" s="37">
        <f t="shared" si="52"/>
        <v>0.19760479041916168</v>
      </c>
      <c r="G193" s="2"/>
      <c r="H193" s="12">
        <f t="shared" si="53"/>
        <v>3300</v>
      </c>
      <c r="I193" s="2"/>
      <c r="J193" s="12">
        <v>16700</v>
      </c>
      <c r="K193" s="2"/>
      <c r="L193" s="13">
        <f t="shared" si="54"/>
        <v>0</v>
      </c>
      <c r="M193" s="2"/>
      <c r="N193" s="12">
        <f t="shared" si="55"/>
        <v>0</v>
      </c>
      <c r="O193" s="2"/>
      <c r="P193" s="12">
        <v>16700</v>
      </c>
    </row>
    <row r="194" spans="1:17" x14ac:dyDescent="0.25">
      <c r="A194" t="s">
        <v>117</v>
      </c>
      <c r="B194" t="s">
        <v>129</v>
      </c>
      <c r="C194" t="s">
        <v>130</v>
      </c>
      <c r="D194" s="12">
        <v>37000</v>
      </c>
      <c r="E194" s="2"/>
      <c r="F194" s="37">
        <f t="shared" si="52"/>
        <v>8.8235294117647065E-2</v>
      </c>
      <c r="G194" s="2"/>
      <c r="H194" s="12">
        <f t="shared" si="53"/>
        <v>3000</v>
      </c>
      <c r="I194" s="2"/>
      <c r="J194" s="12">
        <v>34000</v>
      </c>
      <c r="K194" s="2"/>
      <c r="L194" s="13">
        <f t="shared" si="54"/>
        <v>0</v>
      </c>
      <c r="M194" s="2"/>
      <c r="N194" s="12">
        <f t="shared" si="55"/>
        <v>0</v>
      </c>
      <c r="O194" s="2"/>
      <c r="P194" s="12">
        <v>34000</v>
      </c>
    </row>
    <row r="195" spans="1:17" x14ac:dyDescent="0.25">
      <c r="A195" t="s">
        <v>117</v>
      </c>
      <c r="B195" t="s">
        <v>131</v>
      </c>
      <c r="C195" s="30" t="s">
        <v>132</v>
      </c>
      <c r="D195" s="12">
        <f>70000+68141</f>
        <v>138141</v>
      </c>
      <c r="E195" s="2"/>
      <c r="F195" s="37">
        <f t="shared" si="52"/>
        <v>0.97344285714285717</v>
      </c>
      <c r="G195" s="2"/>
      <c r="H195" s="12">
        <f t="shared" si="53"/>
        <v>68141</v>
      </c>
      <c r="I195" s="2"/>
      <c r="J195" s="12">
        <v>70000</v>
      </c>
      <c r="K195" s="2"/>
      <c r="L195" s="13">
        <f t="shared" si="54"/>
        <v>0.55555555555555558</v>
      </c>
      <c r="M195" s="2"/>
      <c r="N195" s="12">
        <f t="shared" si="55"/>
        <v>25000</v>
      </c>
      <c r="O195" s="2"/>
      <c r="P195" s="12">
        <v>45000</v>
      </c>
      <c r="Q195" t="s">
        <v>433</v>
      </c>
    </row>
    <row r="196" spans="1:17" x14ac:dyDescent="0.25">
      <c r="A196" t="s">
        <v>117</v>
      </c>
      <c r="B196" t="s">
        <v>69</v>
      </c>
      <c r="C196" s="30" t="s">
        <v>70</v>
      </c>
      <c r="D196" s="12">
        <v>45000</v>
      </c>
      <c r="E196" s="2"/>
      <c r="F196" s="37">
        <f t="shared" si="52"/>
        <v>0</v>
      </c>
      <c r="G196" s="2"/>
      <c r="H196" s="12">
        <f t="shared" si="53"/>
        <v>0</v>
      </c>
      <c r="I196" s="2"/>
      <c r="J196" s="12">
        <v>45000</v>
      </c>
      <c r="K196" s="2"/>
      <c r="L196" s="13">
        <f t="shared" si="54"/>
        <v>0.15666366790900912</v>
      </c>
      <c r="M196" s="2"/>
      <c r="N196" s="12">
        <f t="shared" si="55"/>
        <v>6095</v>
      </c>
      <c r="O196" s="2"/>
      <c r="P196" s="12">
        <v>38905</v>
      </c>
      <c r="Q196" t="s">
        <v>432</v>
      </c>
    </row>
    <row r="197" spans="1:17" x14ac:dyDescent="0.25">
      <c r="A197" t="s">
        <v>117</v>
      </c>
      <c r="B197" t="s">
        <v>133</v>
      </c>
      <c r="C197" s="30" t="s">
        <v>134</v>
      </c>
      <c r="D197" s="12">
        <v>23000</v>
      </c>
      <c r="E197" s="2"/>
      <c r="F197" s="37">
        <f t="shared" si="52"/>
        <v>0</v>
      </c>
      <c r="G197" s="2"/>
      <c r="H197" s="12">
        <f t="shared" si="53"/>
        <v>0</v>
      </c>
      <c r="I197" s="2"/>
      <c r="J197" s="12">
        <v>23000</v>
      </c>
      <c r="K197" s="2"/>
      <c r="L197" s="13">
        <f t="shared" si="54"/>
        <v>0</v>
      </c>
      <c r="M197" s="2"/>
      <c r="N197" s="12">
        <f t="shared" si="55"/>
        <v>0</v>
      </c>
      <c r="O197" s="2"/>
      <c r="P197" s="12">
        <v>23000</v>
      </c>
    </row>
    <row r="198" spans="1:17" x14ac:dyDescent="0.25">
      <c r="D198" s="2"/>
      <c r="E198" s="2"/>
      <c r="F198" s="2"/>
      <c r="G198" s="2"/>
      <c r="H198" s="2"/>
      <c r="I198" s="2"/>
      <c r="J198" s="2"/>
      <c r="K198" s="2"/>
      <c r="M198" s="2"/>
      <c r="O198" s="2"/>
    </row>
    <row r="199" spans="1:17" x14ac:dyDescent="0.25">
      <c r="A199" t="s">
        <v>5</v>
      </c>
      <c r="B199" t="s">
        <v>5</v>
      </c>
      <c r="C199" s="1" t="s">
        <v>363</v>
      </c>
      <c r="D199" s="8">
        <f>SUM(D183:D197)</f>
        <v>349092</v>
      </c>
      <c r="E199" s="2"/>
      <c r="F199" s="15">
        <f>H199/J199</f>
        <v>0.27268352436783622</v>
      </c>
      <c r="G199" s="2"/>
      <c r="H199" s="8">
        <f>SUM(H183:H197)</f>
        <v>74796</v>
      </c>
      <c r="I199" s="2"/>
      <c r="J199" s="8">
        <f>SUM(J183:J197)</f>
        <v>274296</v>
      </c>
      <c r="K199" s="2"/>
      <c r="L199" s="15">
        <f>N199/P199</f>
        <v>4.0245141912288951E-2</v>
      </c>
      <c r="M199" s="2"/>
      <c r="N199" s="8">
        <f>SUM(N183:N197)</f>
        <v>10612</v>
      </c>
      <c r="O199" s="2"/>
      <c r="P199" s="8">
        <f>SUM(P183:P197)</f>
        <v>263684</v>
      </c>
    </row>
    <row r="200" spans="1:17" x14ac:dyDescent="0.25">
      <c r="D200" s="2"/>
      <c r="E200" s="2"/>
      <c r="F200" s="2"/>
      <c r="G200" s="2"/>
      <c r="H200" s="2"/>
      <c r="I200" s="2"/>
      <c r="J200" s="2"/>
      <c r="K200" s="2"/>
      <c r="M200" s="2"/>
      <c r="O200" s="2"/>
    </row>
    <row r="201" spans="1:17" x14ac:dyDescent="0.25">
      <c r="A201" t="s">
        <v>5</v>
      </c>
      <c r="B201" t="s">
        <v>5</v>
      </c>
      <c r="C201" s="1" t="s">
        <v>406</v>
      </c>
      <c r="D201" s="17">
        <f>D199+D174+D167+D154+D136+D117+D101+D83+D59+D55+D44+D34+D14</f>
        <v>2527807</v>
      </c>
      <c r="E201" s="2"/>
      <c r="F201" s="27">
        <f>H201/J201</f>
        <v>7.4243180818535509E-2</v>
      </c>
      <c r="G201" s="2"/>
      <c r="H201" s="17">
        <f>H199+H174+H167+H154+H136+H117+H101+H83+H59+H55+H44+H34+H14</f>
        <v>174702</v>
      </c>
      <c r="I201" s="2"/>
      <c r="J201" s="17">
        <f>J199+J174+J167+J154+J136+J117+J101+J83+J59+J55+J44+J34+J14</f>
        <v>2353105</v>
      </c>
      <c r="K201" s="2"/>
      <c r="L201" s="27">
        <f>N201/P201</f>
        <v>8.5317458487191244E-2</v>
      </c>
      <c r="M201" s="2"/>
      <c r="N201" s="17">
        <f>N199+N174+N167+N154+N136+N117+N101+N83+N59+N55+N44+N34+N14</f>
        <v>184979</v>
      </c>
      <c r="O201" s="2"/>
      <c r="P201" s="17">
        <f>P199+P174+P167+P154+P136+P117+P101+P83+P59+P55+P44+P34+P14</f>
        <v>2168126</v>
      </c>
    </row>
    <row r="202" spans="1:17" x14ac:dyDescent="0.25">
      <c r="D202" s="2"/>
      <c r="E202" s="2"/>
      <c r="F202" s="2"/>
      <c r="G202" s="2"/>
      <c r="H202" s="2"/>
      <c r="I202" s="2"/>
      <c r="J202" s="2"/>
      <c r="K202" s="2"/>
      <c r="M202" s="2"/>
      <c r="O202" s="2"/>
    </row>
    <row r="203" spans="1:17" x14ac:dyDescent="0.25">
      <c r="A203" t="s">
        <v>135</v>
      </c>
      <c r="B203" t="s">
        <v>57</v>
      </c>
      <c r="C203" t="s">
        <v>58</v>
      </c>
      <c r="D203" s="12">
        <f>ROUNDUP((5900.71),0)</f>
        <v>5901</v>
      </c>
      <c r="E203" s="2"/>
      <c r="F203" s="37">
        <f t="shared" ref="F203:F207" si="56">H203/J203</f>
        <v>0</v>
      </c>
      <c r="G203" s="2"/>
      <c r="H203" s="12">
        <f t="shared" ref="H203:H207" si="57">D203-J203</f>
        <v>0</v>
      </c>
      <c r="I203" s="2"/>
      <c r="J203" s="12">
        <f>ROUNDUP((5900.71),0)</f>
        <v>5901</v>
      </c>
      <c r="K203" s="2"/>
      <c r="L203" s="13">
        <f t="shared" ref="L203:L207" si="58">N203/P203</f>
        <v>3.0022691569209285E-2</v>
      </c>
      <c r="M203" s="2"/>
      <c r="N203" s="12">
        <f t="shared" ref="N203:N207" si="59">J203-P203</f>
        <v>172</v>
      </c>
      <c r="O203" s="2"/>
      <c r="P203" s="12">
        <v>5729</v>
      </c>
    </row>
    <row r="204" spans="1:17" x14ac:dyDescent="0.25">
      <c r="A204" t="s">
        <v>135</v>
      </c>
      <c r="B204" t="s">
        <v>9</v>
      </c>
      <c r="C204" t="s">
        <v>10</v>
      </c>
      <c r="D204" s="12">
        <f>ROUNDUP((197.38),0)</f>
        <v>198</v>
      </c>
      <c r="E204" s="2"/>
      <c r="F204" s="37">
        <f t="shared" si="56"/>
        <v>0</v>
      </c>
      <c r="G204" s="2"/>
      <c r="H204" s="12">
        <f t="shared" si="57"/>
        <v>0</v>
      </c>
      <c r="I204" s="2"/>
      <c r="J204" s="12">
        <f>ROUNDUP((197.38),0)</f>
        <v>198</v>
      </c>
      <c r="K204" s="2"/>
      <c r="L204" s="13">
        <f t="shared" si="58"/>
        <v>7.0270270270270274E-2</v>
      </c>
      <c r="M204" s="2"/>
      <c r="N204" s="12">
        <f t="shared" si="59"/>
        <v>13</v>
      </c>
      <c r="O204" s="2"/>
      <c r="P204" s="12">
        <v>185</v>
      </c>
    </row>
    <row r="205" spans="1:17" x14ac:dyDescent="0.25">
      <c r="A205" t="s">
        <v>135</v>
      </c>
      <c r="B205" t="s">
        <v>36</v>
      </c>
      <c r="C205" t="s">
        <v>37</v>
      </c>
      <c r="D205" s="12">
        <f>ROUNDUP((601.87),0)</f>
        <v>602</v>
      </c>
      <c r="E205" s="2"/>
      <c r="F205" s="37">
        <f t="shared" si="56"/>
        <v>0</v>
      </c>
      <c r="G205" s="2"/>
      <c r="H205" s="12">
        <f t="shared" si="57"/>
        <v>0</v>
      </c>
      <c r="I205" s="2"/>
      <c r="J205" s="12">
        <f>ROUNDUP((601.87),0)</f>
        <v>602</v>
      </c>
      <c r="K205" s="2"/>
      <c r="L205" s="13">
        <f t="shared" si="58"/>
        <v>3.0821917808219176E-2</v>
      </c>
      <c r="M205" s="2"/>
      <c r="N205" s="12">
        <f t="shared" si="59"/>
        <v>18</v>
      </c>
      <c r="O205" s="2"/>
      <c r="P205" s="12">
        <v>584</v>
      </c>
    </row>
    <row r="206" spans="1:17" x14ac:dyDescent="0.25">
      <c r="A206" t="s">
        <v>135</v>
      </c>
      <c r="B206" t="s">
        <v>11</v>
      </c>
      <c r="C206" t="s">
        <v>12</v>
      </c>
      <c r="D206" s="12">
        <f>ROUNDUP((451.4),0)</f>
        <v>452</v>
      </c>
      <c r="E206" s="2"/>
      <c r="F206" s="37">
        <f t="shared" si="56"/>
        <v>0</v>
      </c>
      <c r="G206" s="2"/>
      <c r="H206" s="12">
        <f t="shared" si="57"/>
        <v>0</v>
      </c>
      <c r="I206" s="2"/>
      <c r="J206" s="12">
        <f>ROUNDUP((451.4),0)</f>
        <v>452</v>
      </c>
      <c r="K206" s="2"/>
      <c r="L206" s="13">
        <f t="shared" si="58"/>
        <v>3.1963470319634701E-2</v>
      </c>
      <c r="M206" s="2"/>
      <c r="N206" s="12">
        <f t="shared" si="59"/>
        <v>14</v>
      </c>
      <c r="O206" s="2"/>
      <c r="P206" s="12">
        <v>438</v>
      </c>
    </row>
    <row r="207" spans="1:17" x14ac:dyDescent="0.25">
      <c r="A207" t="s">
        <v>135</v>
      </c>
      <c r="B207" t="s">
        <v>13</v>
      </c>
      <c r="C207" t="s">
        <v>14</v>
      </c>
      <c r="D207" s="12">
        <v>50</v>
      </c>
      <c r="E207" s="2"/>
      <c r="F207" s="37">
        <f t="shared" si="56"/>
        <v>0</v>
      </c>
      <c r="G207" s="2"/>
      <c r="H207" s="12">
        <f t="shared" si="57"/>
        <v>0</v>
      </c>
      <c r="I207" s="2"/>
      <c r="J207" s="12">
        <v>50</v>
      </c>
      <c r="K207" s="2"/>
      <c r="L207" s="13">
        <f t="shared" si="58"/>
        <v>0</v>
      </c>
      <c r="M207" s="2"/>
      <c r="N207" s="12">
        <f t="shared" si="59"/>
        <v>0</v>
      </c>
      <c r="O207" s="2"/>
      <c r="P207" s="12">
        <v>50</v>
      </c>
    </row>
    <row r="208" spans="1:17" x14ac:dyDescent="0.25">
      <c r="D208" s="22"/>
      <c r="E208" s="2"/>
      <c r="F208" s="22"/>
      <c r="G208" s="2"/>
      <c r="H208" s="22"/>
      <c r="I208" s="2"/>
      <c r="J208" s="2"/>
      <c r="K208" s="2"/>
      <c r="M208" s="2"/>
      <c r="O208" s="2"/>
    </row>
    <row r="209" spans="1:17" x14ac:dyDescent="0.25">
      <c r="A209" t="s">
        <v>5</v>
      </c>
      <c r="B209" t="s">
        <v>5</v>
      </c>
      <c r="C209" s="1" t="s">
        <v>364</v>
      </c>
      <c r="D209" s="8">
        <f>SUM(D203:D207)</f>
        <v>7203</v>
      </c>
      <c r="E209" s="2"/>
      <c r="F209" s="15">
        <f>H209/J209</f>
        <v>0</v>
      </c>
      <c r="G209" s="2"/>
      <c r="H209" s="8">
        <f>SUM(H203:H207)</f>
        <v>0</v>
      </c>
      <c r="I209" s="2"/>
      <c r="J209" s="8">
        <f>SUM(J203:J207)</f>
        <v>7203</v>
      </c>
      <c r="K209" s="2"/>
      <c r="L209" s="15">
        <f>N209/P209</f>
        <v>3.1062124248496994E-2</v>
      </c>
      <c r="M209" s="2"/>
      <c r="N209" s="8">
        <f>SUM(N203:N207)</f>
        <v>217</v>
      </c>
      <c r="O209" s="2"/>
      <c r="P209" s="8">
        <f>SUM(P203:P207)</f>
        <v>6986</v>
      </c>
    </row>
    <row r="210" spans="1:17" x14ac:dyDescent="0.25">
      <c r="D210" s="2"/>
      <c r="E210" s="2"/>
      <c r="F210" s="2"/>
      <c r="G210" s="2"/>
      <c r="H210" s="2"/>
      <c r="I210" s="2"/>
      <c r="J210" s="2"/>
      <c r="K210" s="2"/>
      <c r="M210" s="2"/>
      <c r="O210" s="2"/>
    </row>
    <row r="211" spans="1:17" x14ac:dyDescent="0.25">
      <c r="A211" t="s">
        <v>136</v>
      </c>
      <c r="B211" t="s">
        <v>61</v>
      </c>
      <c r="C211" t="s">
        <v>62</v>
      </c>
      <c r="D211" s="47">
        <v>2500</v>
      </c>
      <c r="E211" s="2"/>
      <c r="F211" s="37">
        <f t="shared" ref="F211:F219" si="60">H211/J211</f>
        <v>0</v>
      </c>
      <c r="G211" s="2"/>
      <c r="H211" s="12">
        <f t="shared" ref="H211:H219" si="61">D211-J211</f>
        <v>0</v>
      </c>
      <c r="I211" s="2"/>
      <c r="J211" s="16">
        <v>2500</v>
      </c>
      <c r="K211" s="2"/>
      <c r="L211" s="13">
        <f t="shared" ref="L211:L219" si="62">N211/P211</f>
        <v>0</v>
      </c>
      <c r="M211" s="2"/>
      <c r="N211" s="12">
        <f t="shared" ref="N211:N219" si="63">J211-P211</f>
        <v>0</v>
      </c>
      <c r="O211" s="2"/>
      <c r="P211" s="12">
        <v>2500</v>
      </c>
    </row>
    <row r="212" spans="1:17" x14ac:dyDescent="0.25">
      <c r="A212" t="s">
        <v>136</v>
      </c>
      <c r="B212" t="s">
        <v>9</v>
      </c>
      <c r="C212" t="s">
        <v>10</v>
      </c>
      <c r="D212" s="47">
        <f>ROUNDUP((11.7),0)</f>
        <v>12</v>
      </c>
      <c r="E212" s="2"/>
      <c r="F212" s="37">
        <f t="shared" si="60"/>
        <v>0</v>
      </c>
      <c r="G212" s="2"/>
      <c r="H212" s="12">
        <f t="shared" si="61"/>
        <v>0</v>
      </c>
      <c r="I212" s="2"/>
      <c r="J212" s="16">
        <f>ROUNDUP((11.7),0)</f>
        <v>12</v>
      </c>
      <c r="K212" s="2"/>
      <c r="L212" s="13">
        <f t="shared" si="62"/>
        <v>-0.14285714285714285</v>
      </c>
      <c r="M212" s="2"/>
      <c r="N212" s="12">
        <f t="shared" si="63"/>
        <v>-2</v>
      </c>
      <c r="O212" s="2"/>
      <c r="P212" s="12">
        <v>14</v>
      </c>
    </row>
    <row r="213" spans="1:17" x14ac:dyDescent="0.25">
      <c r="A213" t="s">
        <v>136</v>
      </c>
      <c r="B213" t="s">
        <v>36</v>
      </c>
      <c r="C213" t="s">
        <v>37</v>
      </c>
      <c r="D213" s="47">
        <f>ROUNDUP((255),0)</f>
        <v>255</v>
      </c>
      <c r="E213" s="2"/>
      <c r="F213" s="37">
        <f t="shared" si="60"/>
        <v>0</v>
      </c>
      <c r="G213" s="2"/>
      <c r="H213" s="12">
        <f t="shared" si="61"/>
        <v>0</v>
      </c>
      <c r="I213" s="2"/>
      <c r="J213" s="16">
        <f>ROUNDUP((255),0)</f>
        <v>255</v>
      </c>
      <c r="K213" s="2"/>
      <c r="L213" s="13">
        <f t="shared" si="62"/>
        <v>0</v>
      </c>
      <c r="M213" s="2"/>
      <c r="N213" s="12">
        <f t="shared" si="63"/>
        <v>0</v>
      </c>
      <c r="O213" s="2"/>
      <c r="P213" s="12">
        <v>255</v>
      </c>
    </row>
    <row r="214" spans="1:17" x14ac:dyDescent="0.25">
      <c r="A214" t="s">
        <v>136</v>
      </c>
      <c r="B214" t="s">
        <v>11</v>
      </c>
      <c r="C214" t="s">
        <v>12</v>
      </c>
      <c r="D214" s="47">
        <f>ROUNDUP((191.25),0)</f>
        <v>192</v>
      </c>
      <c r="E214" s="2"/>
      <c r="F214" s="37">
        <f t="shared" si="60"/>
        <v>0</v>
      </c>
      <c r="G214" s="2"/>
      <c r="H214" s="12">
        <f t="shared" si="61"/>
        <v>0</v>
      </c>
      <c r="I214" s="2"/>
      <c r="J214" s="16">
        <f>ROUNDUP((191.25),0)</f>
        <v>192</v>
      </c>
      <c r="K214" s="2"/>
      <c r="L214" s="13">
        <f t="shared" si="62"/>
        <v>0</v>
      </c>
      <c r="M214" s="2"/>
      <c r="N214" s="12">
        <f t="shared" si="63"/>
        <v>0</v>
      </c>
      <c r="O214" s="2"/>
      <c r="P214" s="12">
        <v>192</v>
      </c>
    </row>
    <row r="215" spans="1:17" x14ac:dyDescent="0.25">
      <c r="A215" t="s">
        <v>136</v>
      </c>
      <c r="B215" t="s">
        <v>13</v>
      </c>
      <c r="C215" t="s">
        <v>14</v>
      </c>
      <c r="D215" s="47">
        <v>800</v>
      </c>
      <c r="E215" s="2"/>
      <c r="F215" s="37">
        <f t="shared" si="60"/>
        <v>0</v>
      </c>
      <c r="G215" s="2"/>
      <c r="H215" s="12">
        <f t="shared" si="61"/>
        <v>0</v>
      </c>
      <c r="I215" s="2"/>
      <c r="J215" s="16">
        <v>800</v>
      </c>
      <c r="K215" s="2"/>
      <c r="L215" s="13">
        <f t="shared" si="62"/>
        <v>0</v>
      </c>
      <c r="M215" s="2"/>
      <c r="N215" s="12">
        <f t="shared" si="63"/>
        <v>0</v>
      </c>
      <c r="O215" s="2"/>
      <c r="P215" s="12">
        <v>800</v>
      </c>
    </row>
    <row r="216" spans="1:17" x14ac:dyDescent="0.25">
      <c r="A216" t="s">
        <v>136</v>
      </c>
      <c r="B216" t="s">
        <v>19</v>
      </c>
      <c r="C216" t="s">
        <v>20</v>
      </c>
      <c r="D216" s="47">
        <v>100</v>
      </c>
      <c r="E216" s="2"/>
      <c r="F216" s="37">
        <f t="shared" si="60"/>
        <v>0</v>
      </c>
      <c r="G216" s="2"/>
      <c r="H216" s="12">
        <f t="shared" si="61"/>
        <v>0</v>
      </c>
      <c r="I216" s="2"/>
      <c r="J216" s="16">
        <v>100</v>
      </c>
      <c r="K216" s="2"/>
      <c r="L216" s="13">
        <f t="shared" si="62"/>
        <v>0</v>
      </c>
      <c r="M216" s="2"/>
      <c r="N216" s="12">
        <f t="shared" si="63"/>
        <v>0</v>
      </c>
      <c r="O216" s="2"/>
      <c r="P216" s="12">
        <v>100</v>
      </c>
    </row>
    <row r="217" spans="1:17" x14ac:dyDescent="0.25">
      <c r="A217" t="s">
        <v>136</v>
      </c>
      <c r="B217" t="s">
        <v>40</v>
      </c>
      <c r="C217" t="s">
        <v>137</v>
      </c>
      <c r="D217" s="47">
        <v>365</v>
      </c>
      <c r="E217" s="2"/>
      <c r="F217" s="37">
        <f t="shared" si="60"/>
        <v>0</v>
      </c>
      <c r="G217" s="2"/>
      <c r="H217" s="12">
        <f t="shared" si="61"/>
        <v>0</v>
      </c>
      <c r="I217" s="2"/>
      <c r="J217" s="16">
        <v>365</v>
      </c>
      <c r="K217" s="2"/>
      <c r="L217" s="13">
        <f t="shared" si="62"/>
        <v>0</v>
      </c>
      <c r="M217" s="2"/>
      <c r="N217" s="12">
        <f t="shared" si="63"/>
        <v>0</v>
      </c>
      <c r="O217" s="2"/>
      <c r="P217" s="12">
        <v>365</v>
      </c>
    </row>
    <row r="218" spans="1:17" x14ac:dyDescent="0.25">
      <c r="A218" t="s">
        <v>136</v>
      </c>
      <c r="B218" t="s">
        <v>23</v>
      </c>
      <c r="C218" t="s">
        <v>24</v>
      </c>
      <c r="D218" s="47">
        <v>800</v>
      </c>
      <c r="E218" s="2"/>
      <c r="F218" s="37">
        <f t="shared" si="60"/>
        <v>0</v>
      </c>
      <c r="G218" s="2"/>
      <c r="H218" s="12">
        <f t="shared" si="61"/>
        <v>0</v>
      </c>
      <c r="I218" s="2"/>
      <c r="J218" s="16">
        <v>800</v>
      </c>
      <c r="K218" s="2"/>
      <c r="L218" s="13">
        <f t="shared" si="62"/>
        <v>0</v>
      </c>
      <c r="M218" s="2"/>
      <c r="N218" s="12">
        <f t="shared" si="63"/>
        <v>0</v>
      </c>
      <c r="O218" s="2"/>
      <c r="P218" s="12">
        <v>800</v>
      </c>
    </row>
    <row r="219" spans="1:17" x14ac:dyDescent="0.25">
      <c r="A219" t="s">
        <v>136</v>
      </c>
      <c r="B219" t="s">
        <v>138</v>
      </c>
      <c r="C219" t="s">
        <v>139</v>
      </c>
      <c r="D219" s="47">
        <v>40500</v>
      </c>
      <c r="E219" s="2"/>
      <c r="F219" s="37">
        <f t="shared" si="60"/>
        <v>0</v>
      </c>
      <c r="G219" s="2"/>
      <c r="H219" s="12">
        <f t="shared" si="61"/>
        <v>0</v>
      </c>
      <c r="I219" s="2"/>
      <c r="J219" s="16">
        <v>40500</v>
      </c>
      <c r="K219" s="2"/>
      <c r="L219" s="13">
        <f t="shared" si="62"/>
        <v>0.35</v>
      </c>
      <c r="M219" s="2"/>
      <c r="N219" s="12">
        <f t="shared" si="63"/>
        <v>10500</v>
      </c>
      <c r="O219" s="2"/>
      <c r="P219" s="12">
        <v>30000</v>
      </c>
      <c r="Q219" t="s">
        <v>427</v>
      </c>
    </row>
    <row r="220" spans="1:17" x14ac:dyDescent="0.25">
      <c r="D220" s="2"/>
      <c r="E220" s="2"/>
      <c r="F220" s="2"/>
      <c r="G220" s="2"/>
      <c r="H220" s="2"/>
      <c r="I220" s="2"/>
      <c r="J220" s="2"/>
      <c r="K220" s="2"/>
      <c r="M220" s="2"/>
      <c r="O220" s="2"/>
    </row>
    <row r="221" spans="1:17" x14ac:dyDescent="0.25">
      <c r="A221" t="s">
        <v>5</v>
      </c>
      <c r="B221" t="s">
        <v>5</v>
      </c>
      <c r="C221" s="1" t="s">
        <v>365</v>
      </c>
      <c r="D221" s="8">
        <f>SUM(D211:D219)</f>
        <v>45524</v>
      </c>
      <c r="E221" s="2"/>
      <c r="F221" s="15">
        <f>H221/J221</f>
        <v>0</v>
      </c>
      <c r="G221" s="2"/>
      <c r="H221" s="8">
        <f>SUM(H211:H219)</f>
        <v>0</v>
      </c>
      <c r="I221" s="2"/>
      <c r="J221" s="8">
        <f>SUM(J211:J219)</f>
        <v>45524</v>
      </c>
      <c r="K221" s="2"/>
      <c r="L221" s="15">
        <f>N221/P221</f>
        <v>0.29972020784560038</v>
      </c>
      <c r="M221" s="2"/>
      <c r="N221" s="8">
        <f>SUM(N211:N219)</f>
        <v>10498</v>
      </c>
      <c r="O221" s="2"/>
      <c r="P221" s="8">
        <f>SUM(P211:P219)</f>
        <v>35026</v>
      </c>
    </row>
    <row r="222" spans="1:17" x14ac:dyDescent="0.25">
      <c r="D222" s="2"/>
      <c r="E222" s="2"/>
      <c r="F222" s="2"/>
      <c r="G222" s="2"/>
      <c r="H222" s="2"/>
      <c r="I222" s="2"/>
      <c r="J222" s="2"/>
      <c r="K222" s="2"/>
      <c r="M222" s="2"/>
      <c r="O222" s="2"/>
    </row>
    <row r="223" spans="1:17" x14ac:dyDescent="0.25">
      <c r="A223" t="s">
        <v>140</v>
      </c>
      <c r="B223" t="s">
        <v>57</v>
      </c>
      <c r="C223" t="s">
        <v>58</v>
      </c>
      <c r="D223" s="47">
        <f>ROUNDUP((98143.34),0)</f>
        <v>98144</v>
      </c>
      <c r="E223" s="2"/>
      <c r="F223" s="37">
        <f t="shared" ref="F223:F258" si="64">H223/J223</f>
        <v>0</v>
      </c>
      <c r="G223" s="2"/>
      <c r="H223" s="12">
        <f t="shared" ref="H223:H258" si="65">D223-J223</f>
        <v>0</v>
      </c>
      <c r="I223" s="2"/>
      <c r="J223" s="16">
        <f>ROUNDUP((98143.34),0)</f>
        <v>98144</v>
      </c>
      <c r="K223" s="2"/>
      <c r="L223" s="13">
        <f t="shared" ref="L223:L258" si="66">N223/P223</f>
        <v>3.0004722674083013E-2</v>
      </c>
      <c r="M223" s="2"/>
      <c r="N223" s="12">
        <f t="shared" ref="N223:N258" si="67">J223-P223</f>
        <v>2859</v>
      </c>
      <c r="O223" s="2"/>
      <c r="P223" s="12">
        <v>95285</v>
      </c>
      <c r="Q223" t="s">
        <v>355</v>
      </c>
    </row>
    <row r="224" spans="1:17" x14ac:dyDescent="0.25">
      <c r="A224" t="s">
        <v>140</v>
      </c>
      <c r="B224" t="s">
        <v>30</v>
      </c>
      <c r="C224" t="s">
        <v>31</v>
      </c>
      <c r="D224" s="47">
        <f>ROUNDUP((1098056.83),0)</f>
        <v>1098057</v>
      </c>
      <c r="E224" s="2"/>
      <c r="F224" s="37">
        <f t="shared" si="64"/>
        <v>0</v>
      </c>
      <c r="G224" s="2"/>
      <c r="H224" s="12">
        <f t="shared" si="65"/>
        <v>0</v>
      </c>
      <c r="I224" s="2"/>
      <c r="J224" s="16">
        <f>ROUNDUP((1098056.83),0)</f>
        <v>1098057</v>
      </c>
      <c r="K224" s="2"/>
      <c r="L224" s="13">
        <f t="shared" si="66"/>
        <v>0.10811312662411383</v>
      </c>
      <c r="M224" s="2"/>
      <c r="N224" s="12">
        <f t="shared" si="67"/>
        <v>107132</v>
      </c>
      <c r="O224" s="2"/>
      <c r="P224" s="12">
        <v>990925</v>
      </c>
      <c r="Q224" t="s">
        <v>355</v>
      </c>
    </row>
    <row r="225" spans="1:17" x14ac:dyDescent="0.25">
      <c r="A225" t="s">
        <v>140</v>
      </c>
      <c r="B225" t="s">
        <v>32</v>
      </c>
      <c r="C225" t="s">
        <v>33</v>
      </c>
      <c r="D225" s="47">
        <f>ROUNDUP((53602.85),0)</f>
        <v>53603</v>
      </c>
      <c r="E225" s="2"/>
      <c r="F225" s="37">
        <f t="shared" si="64"/>
        <v>0</v>
      </c>
      <c r="G225" s="2"/>
      <c r="H225" s="12">
        <f t="shared" si="65"/>
        <v>0</v>
      </c>
      <c r="I225" s="2"/>
      <c r="J225" s="16">
        <f>ROUNDUP((53602.85),0)</f>
        <v>53603</v>
      </c>
      <c r="K225" s="2"/>
      <c r="L225" s="13">
        <f t="shared" si="66"/>
        <v>2.9995004035202336E-2</v>
      </c>
      <c r="M225" s="2"/>
      <c r="N225" s="12">
        <f t="shared" si="67"/>
        <v>1561</v>
      </c>
      <c r="O225" s="2"/>
      <c r="P225" s="12">
        <v>52042</v>
      </c>
      <c r="Q225" t="s">
        <v>355</v>
      </c>
    </row>
    <row r="226" spans="1:17" x14ac:dyDescent="0.25">
      <c r="A226" t="s">
        <v>140</v>
      </c>
      <c r="B226" t="s">
        <v>141</v>
      </c>
      <c r="C226" t="s">
        <v>142</v>
      </c>
      <c r="D226" s="47">
        <v>17000</v>
      </c>
      <c r="E226" s="2"/>
      <c r="F226" s="37">
        <f t="shared" si="64"/>
        <v>0</v>
      </c>
      <c r="G226" s="2"/>
      <c r="H226" s="12">
        <f t="shared" si="65"/>
        <v>0</v>
      </c>
      <c r="I226" s="2"/>
      <c r="J226" s="16">
        <v>17000</v>
      </c>
      <c r="K226" s="2"/>
      <c r="L226" s="13">
        <f t="shared" si="66"/>
        <v>0</v>
      </c>
      <c r="M226" s="2"/>
      <c r="N226" s="12">
        <f t="shared" si="67"/>
        <v>0</v>
      </c>
      <c r="O226" s="2"/>
      <c r="P226" s="12">
        <v>17000</v>
      </c>
    </row>
    <row r="227" spans="1:17" x14ac:dyDescent="0.25">
      <c r="A227" t="s">
        <v>140</v>
      </c>
      <c r="B227" t="s">
        <v>143</v>
      </c>
      <c r="C227" t="s">
        <v>144</v>
      </c>
      <c r="D227" s="47">
        <v>10000</v>
      </c>
      <c r="E227" s="2"/>
      <c r="F227" s="37">
        <f t="shared" si="64"/>
        <v>0</v>
      </c>
      <c r="G227" s="2"/>
      <c r="H227" s="12">
        <f t="shared" si="65"/>
        <v>0</v>
      </c>
      <c r="I227" s="2"/>
      <c r="J227" s="16">
        <v>10000</v>
      </c>
      <c r="K227" s="2"/>
      <c r="L227" s="13">
        <f t="shared" si="66"/>
        <v>0.42857142857142855</v>
      </c>
      <c r="M227" s="2"/>
      <c r="N227" s="12">
        <f t="shared" si="67"/>
        <v>3000</v>
      </c>
      <c r="O227" s="2"/>
      <c r="P227" s="12">
        <v>7000</v>
      </c>
    </row>
    <row r="228" spans="1:17" x14ac:dyDescent="0.25">
      <c r="A228" t="s">
        <v>140</v>
      </c>
      <c r="B228" t="s">
        <v>59</v>
      </c>
      <c r="C228" t="s">
        <v>60</v>
      </c>
      <c r="D228" s="47">
        <v>34994</v>
      </c>
      <c r="E228" s="2"/>
      <c r="F228" s="37">
        <f t="shared" si="64"/>
        <v>0</v>
      </c>
      <c r="G228" s="2"/>
      <c r="H228" s="12">
        <f t="shared" si="65"/>
        <v>0</v>
      </c>
      <c r="I228" s="2"/>
      <c r="J228" s="16">
        <v>34994</v>
      </c>
      <c r="K228" s="2"/>
      <c r="L228" s="13">
        <f t="shared" si="66"/>
        <v>0</v>
      </c>
      <c r="M228" s="2"/>
      <c r="N228" s="12">
        <f t="shared" si="67"/>
        <v>0</v>
      </c>
      <c r="O228" s="2"/>
      <c r="P228" s="12">
        <v>34994</v>
      </c>
    </row>
    <row r="229" spans="1:17" x14ac:dyDescent="0.25">
      <c r="A229" t="s">
        <v>140</v>
      </c>
      <c r="B229" t="s">
        <v>61</v>
      </c>
      <c r="C229" t="s">
        <v>62</v>
      </c>
      <c r="D229" s="47">
        <v>47704</v>
      </c>
      <c r="E229" s="2"/>
      <c r="F229" s="37">
        <f t="shared" si="64"/>
        <v>0</v>
      </c>
      <c r="G229" s="2"/>
      <c r="H229" s="12">
        <f t="shared" si="65"/>
        <v>0</v>
      </c>
      <c r="I229" s="2"/>
      <c r="J229" s="16">
        <v>47704</v>
      </c>
      <c r="K229" s="2"/>
      <c r="L229" s="13">
        <f t="shared" si="66"/>
        <v>0.21076142131979694</v>
      </c>
      <c r="M229" s="2"/>
      <c r="N229" s="12">
        <f t="shared" si="67"/>
        <v>8304</v>
      </c>
      <c r="O229" s="2"/>
      <c r="P229" s="12">
        <v>39400</v>
      </c>
    </row>
    <row r="230" spans="1:17" x14ac:dyDescent="0.25">
      <c r="A230" t="s">
        <v>140</v>
      </c>
      <c r="B230" t="s">
        <v>145</v>
      </c>
      <c r="C230" t="s">
        <v>146</v>
      </c>
      <c r="D230" s="47">
        <v>5000</v>
      </c>
      <c r="E230" s="2"/>
      <c r="F230" s="37">
        <f t="shared" si="64"/>
        <v>0</v>
      </c>
      <c r="G230" s="2"/>
      <c r="H230" s="12">
        <f t="shared" si="65"/>
        <v>0</v>
      </c>
      <c r="I230" s="2"/>
      <c r="J230" s="16">
        <v>5000</v>
      </c>
      <c r="K230" s="2"/>
      <c r="L230" s="13">
        <f t="shared" si="66"/>
        <v>0</v>
      </c>
      <c r="M230" s="2"/>
      <c r="N230" s="12">
        <f t="shared" si="67"/>
        <v>0</v>
      </c>
      <c r="O230" s="2"/>
      <c r="P230" s="12">
        <v>5000</v>
      </c>
    </row>
    <row r="231" spans="1:17" x14ac:dyDescent="0.25">
      <c r="A231" t="s">
        <v>140</v>
      </c>
      <c r="B231" t="s">
        <v>147</v>
      </c>
      <c r="C231" t="s">
        <v>148</v>
      </c>
      <c r="D231" s="47">
        <f>ROUNDUP((170178),0)</f>
        <v>170178</v>
      </c>
      <c r="E231" s="2"/>
      <c r="F231" s="37">
        <f t="shared" si="64"/>
        <v>0</v>
      </c>
      <c r="G231" s="2"/>
      <c r="H231" s="12">
        <f t="shared" si="65"/>
        <v>0</v>
      </c>
      <c r="I231" s="2"/>
      <c r="J231" s="16">
        <v>170178</v>
      </c>
      <c r="K231" s="2"/>
      <c r="L231" s="13">
        <f t="shared" si="66"/>
        <v>0.18015256588072123</v>
      </c>
      <c r="M231" s="2"/>
      <c r="N231" s="12">
        <f t="shared" si="67"/>
        <v>25978</v>
      </c>
      <c r="O231" s="2"/>
      <c r="P231" s="12">
        <v>144200</v>
      </c>
    </row>
    <row r="232" spans="1:17" x14ac:dyDescent="0.25">
      <c r="A232" t="s">
        <v>140</v>
      </c>
      <c r="B232" t="s">
        <v>34</v>
      </c>
      <c r="C232" t="s">
        <v>35</v>
      </c>
      <c r="D232" s="47">
        <f>ROUNDUP((1308.3),0)</f>
        <v>1309</v>
      </c>
      <c r="E232" s="2"/>
      <c r="F232" s="37">
        <f t="shared" si="64"/>
        <v>-4.3128654970760232E-2</v>
      </c>
      <c r="G232" s="2"/>
      <c r="H232" s="12">
        <f t="shared" si="65"/>
        <v>-59</v>
      </c>
      <c r="I232" s="2"/>
      <c r="J232" s="16">
        <f>ROUNDUP((1367.1),0)</f>
        <v>1368</v>
      </c>
      <c r="K232" s="2"/>
      <c r="L232" s="13">
        <f t="shared" si="66"/>
        <v>-0.17490952955367914</v>
      </c>
      <c r="M232" s="2"/>
      <c r="N232" s="12">
        <f t="shared" si="67"/>
        <v>-290</v>
      </c>
      <c r="O232" s="2"/>
      <c r="P232" s="12">
        <v>1658</v>
      </c>
    </row>
    <row r="233" spans="1:17" x14ac:dyDescent="0.25">
      <c r="A233" t="s">
        <v>140</v>
      </c>
      <c r="B233" t="s">
        <v>9</v>
      </c>
      <c r="C233" t="s">
        <v>10</v>
      </c>
      <c r="D233" s="47">
        <f>ROUNDUP((74448.2),0)</f>
        <v>74449</v>
      </c>
      <c r="E233" s="2"/>
      <c r="F233" s="37">
        <f t="shared" si="64"/>
        <v>0</v>
      </c>
      <c r="G233" s="2"/>
      <c r="H233" s="12">
        <f t="shared" si="65"/>
        <v>0</v>
      </c>
      <c r="I233" s="2"/>
      <c r="J233" s="16">
        <f>ROUNDUP((74448.2),0)</f>
        <v>74449</v>
      </c>
      <c r="K233" s="2"/>
      <c r="L233" s="13">
        <f t="shared" si="66"/>
        <v>0.75301984977277547</v>
      </c>
      <c r="M233" s="2"/>
      <c r="N233" s="12">
        <f t="shared" si="67"/>
        <v>31980</v>
      </c>
      <c r="O233" s="2"/>
      <c r="P233" s="12">
        <v>42469</v>
      </c>
    </row>
    <row r="234" spans="1:17" x14ac:dyDescent="0.25">
      <c r="A234" t="s">
        <v>140</v>
      </c>
      <c r="B234" t="s">
        <v>36</v>
      </c>
      <c r="C234" t="s">
        <v>37</v>
      </c>
      <c r="D234" s="47">
        <f>ROUNDUP((187114.65),0)</f>
        <v>187115</v>
      </c>
      <c r="E234" s="2"/>
      <c r="F234" s="37">
        <f t="shared" si="64"/>
        <v>0</v>
      </c>
      <c r="G234" s="2"/>
      <c r="H234" s="12">
        <f t="shared" si="65"/>
        <v>0</v>
      </c>
      <c r="I234" s="2"/>
      <c r="J234" s="16">
        <f>ROUNDUP((187114.65),0)</f>
        <v>187115</v>
      </c>
      <c r="K234" s="2"/>
      <c r="L234" s="13">
        <f t="shared" si="66"/>
        <v>6.5320367565844153E-2</v>
      </c>
      <c r="M234" s="2"/>
      <c r="N234" s="12">
        <f t="shared" si="67"/>
        <v>11473</v>
      </c>
      <c r="O234" s="2"/>
      <c r="P234" s="12">
        <v>175642</v>
      </c>
    </row>
    <row r="235" spans="1:17" x14ac:dyDescent="0.25">
      <c r="A235" t="s">
        <v>140</v>
      </c>
      <c r="B235" t="s">
        <v>38</v>
      </c>
      <c r="C235" t="s">
        <v>39</v>
      </c>
      <c r="D235" s="47">
        <f>ROUNDUP((347579.6),0)</f>
        <v>347580</v>
      </c>
      <c r="E235" s="2"/>
      <c r="F235" s="37">
        <f t="shared" si="64"/>
        <v>0</v>
      </c>
      <c r="G235" s="2"/>
      <c r="H235" s="12">
        <f t="shared" si="65"/>
        <v>0</v>
      </c>
      <c r="I235" s="2"/>
      <c r="J235" s="16">
        <f>ROUNDUP((347579.6),0)</f>
        <v>347580</v>
      </c>
      <c r="K235" s="2"/>
      <c r="L235" s="13">
        <f t="shared" si="66"/>
        <v>0.10535856256956591</v>
      </c>
      <c r="M235" s="2"/>
      <c r="N235" s="12">
        <f t="shared" si="67"/>
        <v>33130</v>
      </c>
      <c r="O235" s="2"/>
      <c r="P235" s="12">
        <v>314450</v>
      </c>
    </row>
    <row r="236" spans="1:17" x14ac:dyDescent="0.25">
      <c r="A236" t="s">
        <v>140</v>
      </c>
      <c r="B236" t="s">
        <v>11</v>
      </c>
      <c r="C236" t="s">
        <v>12</v>
      </c>
      <c r="D236" s="47">
        <f>ROUNDUP((116102.45),0)</f>
        <v>116103</v>
      </c>
      <c r="E236" s="2"/>
      <c r="F236" s="37">
        <f t="shared" si="64"/>
        <v>0</v>
      </c>
      <c r="G236" s="2"/>
      <c r="H236" s="12">
        <f t="shared" si="65"/>
        <v>0</v>
      </c>
      <c r="I236" s="2"/>
      <c r="J236" s="16">
        <f>ROUNDUP((116102.45),0)</f>
        <v>116103</v>
      </c>
      <c r="K236" s="2"/>
      <c r="L236" s="13">
        <f t="shared" si="66"/>
        <v>0.10873115157997269</v>
      </c>
      <c r="M236" s="2"/>
      <c r="N236" s="12">
        <f t="shared" si="67"/>
        <v>11386</v>
      </c>
      <c r="O236" s="2"/>
      <c r="P236" s="12">
        <v>104717</v>
      </c>
    </row>
    <row r="237" spans="1:17" x14ac:dyDescent="0.25">
      <c r="A237" t="s">
        <v>140</v>
      </c>
      <c r="B237" t="s">
        <v>149</v>
      </c>
      <c r="C237" t="s">
        <v>150</v>
      </c>
      <c r="D237" s="47">
        <v>500</v>
      </c>
      <c r="E237" s="2"/>
      <c r="F237" s="37">
        <f t="shared" si="64"/>
        <v>0</v>
      </c>
      <c r="G237" s="2"/>
      <c r="H237" s="12">
        <f t="shared" si="65"/>
        <v>0</v>
      </c>
      <c r="I237" s="2"/>
      <c r="J237" s="16">
        <v>500</v>
      </c>
      <c r="K237" s="2"/>
      <c r="L237" s="13">
        <f t="shared" si="66"/>
        <v>0</v>
      </c>
      <c r="M237" s="2"/>
      <c r="N237" s="12">
        <f t="shared" si="67"/>
        <v>0</v>
      </c>
      <c r="O237" s="2"/>
      <c r="P237" s="12">
        <v>500</v>
      </c>
    </row>
    <row r="238" spans="1:17" x14ac:dyDescent="0.25">
      <c r="A238" t="s">
        <v>140</v>
      </c>
      <c r="B238" t="s">
        <v>13</v>
      </c>
      <c r="C238" t="s">
        <v>14</v>
      </c>
      <c r="D238" s="47">
        <v>5150</v>
      </c>
      <c r="E238" s="2"/>
      <c r="F238" s="37">
        <f t="shared" si="64"/>
        <v>0</v>
      </c>
      <c r="G238" s="2"/>
      <c r="H238" s="12">
        <f t="shared" si="65"/>
        <v>0</v>
      </c>
      <c r="I238" s="2"/>
      <c r="J238" s="16">
        <v>5150</v>
      </c>
      <c r="K238" s="2"/>
      <c r="L238" s="13">
        <f t="shared" si="66"/>
        <v>0</v>
      </c>
      <c r="M238" s="2"/>
      <c r="N238" s="12">
        <f t="shared" si="67"/>
        <v>0</v>
      </c>
      <c r="O238" s="2"/>
      <c r="P238" s="12">
        <v>5150</v>
      </c>
    </row>
    <row r="239" spans="1:17" x14ac:dyDescent="0.25">
      <c r="A239" t="s">
        <v>140</v>
      </c>
      <c r="B239" t="s">
        <v>15</v>
      </c>
      <c r="C239" t="s">
        <v>16</v>
      </c>
      <c r="D239" s="47">
        <v>17000</v>
      </c>
      <c r="E239" s="2"/>
      <c r="F239" s="37">
        <f t="shared" si="64"/>
        <v>0</v>
      </c>
      <c r="G239" s="2"/>
      <c r="H239" s="12">
        <f t="shared" si="65"/>
        <v>0</v>
      </c>
      <c r="I239" s="2"/>
      <c r="J239" s="16">
        <v>17000</v>
      </c>
      <c r="K239" s="2"/>
      <c r="L239" s="13">
        <f t="shared" si="66"/>
        <v>0.21428571428571427</v>
      </c>
      <c r="M239" s="2"/>
      <c r="N239" s="12">
        <f t="shared" si="67"/>
        <v>3000</v>
      </c>
      <c r="O239" s="2"/>
      <c r="P239" s="12">
        <v>14000</v>
      </c>
    </row>
    <row r="240" spans="1:17" x14ac:dyDescent="0.25">
      <c r="A240" t="s">
        <v>140</v>
      </c>
      <c r="B240" t="s">
        <v>19</v>
      </c>
      <c r="C240" t="s">
        <v>20</v>
      </c>
      <c r="D240" s="47">
        <v>300</v>
      </c>
      <c r="E240" s="2"/>
      <c r="F240" s="37">
        <f t="shared" si="64"/>
        <v>0</v>
      </c>
      <c r="G240" s="2"/>
      <c r="H240" s="12">
        <f t="shared" si="65"/>
        <v>0</v>
      </c>
      <c r="I240" s="2"/>
      <c r="J240" s="16">
        <v>300</v>
      </c>
      <c r="K240" s="2"/>
      <c r="L240" s="13">
        <f t="shared" si="66"/>
        <v>-0.14285714285714285</v>
      </c>
      <c r="M240" s="2"/>
      <c r="N240" s="12">
        <f t="shared" si="67"/>
        <v>-50</v>
      </c>
      <c r="O240" s="2"/>
      <c r="P240" s="12">
        <v>350</v>
      </c>
    </row>
    <row r="241" spans="1:18" x14ac:dyDescent="0.25">
      <c r="A241" t="s">
        <v>140</v>
      </c>
      <c r="B241" t="s">
        <v>21</v>
      </c>
      <c r="C241" t="s">
        <v>22</v>
      </c>
      <c r="D241" s="47">
        <v>200</v>
      </c>
      <c r="E241" s="2"/>
      <c r="F241" s="37">
        <f t="shared" si="64"/>
        <v>0</v>
      </c>
      <c r="G241" s="2"/>
      <c r="H241" s="12">
        <f t="shared" si="65"/>
        <v>0</v>
      </c>
      <c r="I241" s="2"/>
      <c r="J241" s="16">
        <v>200</v>
      </c>
      <c r="K241" s="2"/>
      <c r="L241" s="13">
        <f t="shared" si="66"/>
        <v>0</v>
      </c>
      <c r="M241" s="2"/>
      <c r="N241" s="12">
        <f t="shared" si="67"/>
        <v>0</v>
      </c>
      <c r="O241" s="2"/>
      <c r="P241" s="12">
        <v>200</v>
      </c>
    </row>
    <row r="242" spans="1:18" x14ac:dyDescent="0.25">
      <c r="A242" t="s">
        <v>140</v>
      </c>
      <c r="B242" t="s">
        <v>63</v>
      </c>
      <c r="C242" t="s">
        <v>64</v>
      </c>
      <c r="D242" s="47">
        <v>3400</v>
      </c>
      <c r="E242" s="2"/>
      <c r="F242" s="37">
        <f t="shared" si="64"/>
        <v>0</v>
      </c>
      <c r="G242" s="2"/>
      <c r="H242" s="12">
        <f t="shared" si="65"/>
        <v>0</v>
      </c>
      <c r="I242" s="2"/>
      <c r="J242" s="16">
        <v>3400</v>
      </c>
      <c r="K242" s="2"/>
      <c r="L242" s="13">
        <f t="shared" si="66"/>
        <v>0.30769230769230771</v>
      </c>
      <c r="M242" s="2"/>
      <c r="N242" s="12">
        <f t="shared" si="67"/>
        <v>800</v>
      </c>
      <c r="O242" s="2"/>
      <c r="P242" s="12">
        <v>2600</v>
      </c>
    </row>
    <row r="243" spans="1:18" x14ac:dyDescent="0.25">
      <c r="A243" t="s">
        <v>140</v>
      </c>
      <c r="B243" t="s">
        <v>151</v>
      </c>
      <c r="C243" t="s">
        <v>152</v>
      </c>
      <c r="D243" s="47">
        <v>1750</v>
      </c>
      <c r="E243" s="2"/>
      <c r="F243" s="37">
        <f t="shared" si="64"/>
        <v>0</v>
      </c>
      <c r="G243" s="2"/>
      <c r="H243" s="12">
        <f t="shared" si="65"/>
        <v>0</v>
      </c>
      <c r="I243" s="2"/>
      <c r="J243" s="16">
        <v>1750</v>
      </c>
      <c r="K243" s="2"/>
      <c r="L243" s="13">
        <f t="shared" si="66"/>
        <v>0</v>
      </c>
      <c r="M243" s="2"/>
      <c r="N243" s="12">
        <f t="shared" si="67"/>
        <v>0</v>
      </c>
      <c r="O243" s="2"/>
      <c r="P243" s="12">
        <v>1750</v>
      </c>
    </row>
    <row r="244" spans="1:18" x14ac:dyDescent="0.25">
      <c r="A244" t="s">
        <v>140</v>
      </c>
      <c r="B244" t="s">
        <v>153</v>
      </c>
      <c r="C244" t="s">
        <v>154</v>
      </c>
      <c r="D244" s="47">
        <v>21800</v>
      </c>
      <c r="E244" s="2"/>
      <c r="F244" s="37">
        <f t="shared" si="64"/>
        <v>0</v>
      </c>
      <c r="G244" s="2"/>
      <c r="H244" s="12">
        <f t="shared" si="65"/>
        <v>0</v>
      </c>
      <c r="I244" s="2"/>
      <c r="J244" s="16">
        <v>21800</v>
      </c>
      <c r="K244" s="2"/>
      <c r="L244" s="13">
        <f t="shared" si="66"/>
        <v>0.12371134020618557</v>
      </c>
      <c r="M244" s="2"/>
      <c r="N244" s="12">
        <f t="shared" si="67"/>
        <v>2400</v>
      </c>
      <c r="O244" s="2"/>
      <c r="P244" s="12">
        <v>19400</v>
      </c>
    </row>
    <row r="245" spans="1:18" x14ac:dyDescent="0.25">
      <c r="A245" t="s">
        <v>140</v>
      </c>
      <c r="B245" t="s">
        <v>40</v>
      </c>
      <c r="C245" t="s">
        <v>41</v>
      </c>
      <c r="D245" s="47">
        <f>6274+360</f>
        <v>6634</v>
      </c>
      <c r="E245" s="2"/>
      <c r="F245" s="37">
        <f t="shared" si="64"/>
        <v>5.7379662097545428E-2</v>
      </c>
      <c r="G245" s="2"/>
      <c r="H245" s="12">
        <f t="shared" si="65"/>
        <v>360</v>
      </c>
      <c r="I245" s="2"/>
      <c r="J245" s="16">
        <v>6274</v>
      </c>
      <c r="K245" s="2"/>
      <c r="L245" s="13">
        <f t="shared" si="66"/>
        <v>0</v>
      </c>
      <c r="M245" s="2"/>
      <c r="N245" s="12">
        <f t="shared" si="67"/>
        <v>0</v>
      </c>
      <c r="O245" s="2"/>
      <c r="P245" s="12">
        <v>6274</v>
      </c>
      <c r="R245" t="s">
        <v>435</v>
      </c>
    </row>
    <row r="246" spans="1:18" x14ac:dyDescent="0.25">
      <c r="A246" t="s">
        <v>140</v>
      </c>
      <c r="B246" t="s">
        <v>155</v>
      </c>
      <c r="C246" t="s">
        <v>156</v>
      </c>
      <c r="D246" s="47">
        <v>1900</v>
      </c>
      <c r="E246" s="2"/>
      <c r="F246" s="37">
        <f t="shared" si="64"/>
        <v>0</v>
      </c>
      <c r="G246" s="2"/>
      <c r="H246" s="12">
        <f t="shared" si="65"/>
        <v>0</v>
      </c>
      <c r="I246" s="2"/>
      <c r="J246" s="16">
        <v>1900</v>
      </c>
      <c r="K246" s="2"/>
      <c r="L246" s="13">
        <f t="shared" si="66"/>
        <v>0</v>
      </c>
      <c r="M246" s="2"/>
      <c r="N246" s="12">
        <f t="shared" si="67"/>
        <v>0</v>
      </c>
      <c r="O246" s="2"/>
      <c r="P246" s="12">
        <v>1900</v>
      </c>
    </row>
    <row r="247" spans="1:18" x14ac:dyDescent="0.25">
      <c r="A247" t="s">
        <v>140</v>
      </c>
      <c r="B247" t="s">
        <v>85</v>
      </c>
      <c r="C247" t="s">
        <v>86</v>
      </c>
      <c r="D247" s="47">
        <v>33775</v>
      </c>
      <c r="E247" s="2"/>
      <c r="F247" s="37">
        <f t="shared" si="64"/>
        <v>0</v>
      </c>
      <c r="G247" s="2"/>
      <c r="H247" s="12">
        <f t="shared" si="65"/>
        <v>0</v>
      </c>
      <c r="I247" s="2"/>
      <c r="J247" s="16">
        <v>33775</v>
      </c>
      <c r="K247" s="2"/>
      <c r="L247" s="13">
        <f t="shared" si="66"/>
        <v>-0.10589013898080742</v>
      </c>
      <c r="M247" s="2"/>
      <c r="N247" s="12">
        <f t="shared" si="67"/>
        <v>-4000</v>
      </c>
      <c r="O247" s="2"/>
      <c r="P247" s="12">
        <v>37775</v>
      </c>
    </row>
    <row r="248" spans="1:18" x14ac:dyDescent="0.25">
      <c r="A248" t="s">
        <v>140</v>
      </c>
      <c r="B248" t="s">
        <v>157</v>
      </c>
      <c r="C248" t="s">
        <v>158</v>
      </c>
      <c r="D248" s="47">
        <v>234</v>
      </c>
      <c r="E248" s="2"/>
      <c r="F248" s="37">
        <f t="shared" si="64"/>
        <v>0</v>
      </c>
      <c r="G248" s="2"/>
      <c r="H248" s="12">
        <f t="shared" si="65"/>
        <v>0</v>
      </c>
      <c r="I248" s="2"/>
      <c r="J248" s="16">
        <v>234</v>
      </c>
      <c r="K248" s="2"/>
      <c r="L248" s="13">
        <f t="shared" si="66"/>
        <v>0</v>
      </c>
      <c r="M248" s="2"/>
      <c r="N248" s="12">
        <f t="shared" si="67"/>
        <v>0</v>
      </c>
      <c r="O248" s="2"/>
      <c r="P248" s="12">
        <v>234</v>
      </c>
    </row>
    <row r="249" spans="1:18" x14ac:dyDescent="0.25">
      <c r="A249" t="s">
        <v>140</v>
      </c>
      <c r="B249" t="s">
        <v>159</v>
      </c>
      <c r="C249" t="s">
        <v>160</v>
      </c>
      <c r="D249" s="47">
        <v>6628</v>
      </c>
      <c r="E249" s="2"/>
      <c r="F249" s="37">
        <f t="shared" si="64"/>
        <v>0</v>
      </c>
      <c r="G249" s="2"/>
      <c r="H249" s="12">
        <f t="shared" si="65"/>
        <v>0</v>
      </c>
      <c r="I249" s="2"/>
      <c r="J249" s="16">
        <v>6628</v>
      </c>
      <c r="K249" s="2"/>
      <c r="L249" s="13">
        <f t="shared" si="66"/>
        <v>0.29251170046801872</v>
      </c>
      <c r="M249" s="2"/>
      <c r="N249" s="12">
        <f t="shared" si="67"/>
        <v>1500</v>
      </c>
      <c r="O249" s="2"/>
      <c r="P249" s="12">
        <v>5128</v>
      </c>
    </row>
    <row r="250" spans="1:18" x14ac:dyDescent="0.25">
      <c r="A250" t="s">
        <v>140</v>
      </c>
      <c r="B250" t="s">
        <v>23</v>
      </c>
      <c r="C250" t="s">
        <v>24</v>
      </c>
      <c r="D250" s="47">
        <v>18000</v>
      </c>
      <c r="E250" s="2"/>
      <c r="F250" s="37">
        <f t="shared" si="64"/>
        <v>0</v>
      </c>
      <c r="G250" s="2"/>
      <c r="H250" s="12">
        <f t="shared" si="65"/>
        <v>0</v>
      </c>
      <c r="I250" s="2"/>
      <c r="J250" s="16">
        <v>18000</v>
      </c>
      <c r="K250" s="2"/>
      <c r="L250" s="13">
        <f t="shared" si="66"/>
        <v>0.13307314616643587</v>
      </c>
      <c r="M250" s="2"/>
      <c r="N250" s="12">
        <f t="shared" si="67"/>
        <v>2114</v>
      </c>
      <c r="O250" s="2"/>
      <c r="P250" s="12">
        <v>15886</v>
      </c>
    </row>
    <row r="251" spans="1:18" x14ac:dyDescent="0.25">
      <c r="A251" t="s">
        <v>140</v>
      </c>
      <c r="B251" t="s">
        <v>44</v>
      </c>
      <c r="C251" t="s">
        <v>45</v>
      </c>
      <c r="D251" s="47">
        <v>450</v>
      </c>
      <c r="E251" s="2"/>
      <c r="F251" s="37">
        <f t="shared" si="64"/>
        <v>0</v>
      </c>
      <c r="G251" s="2"/>
      <c r="H251" s="12">
        <f t="shared" si="65"/>
        <v>0</v>
      </c>
      <c r="I251" s="2"/>
      <c r="J251" s="16">
        <v>450</v>
      </c>
      <c r="K251" s="2"/>
      <c r="L251" s="13">
        <f t="shared" si="66"/>
        <v>0</v>
      </c>
      <c r="M251" s="2"/>
      <c r="N251" s="12">
        <f t="shared" si="67"/>
        <v>0</v>
      </c>
      <c r="O251" s="2"/>
      <c r="P251" s="12">
        <v>450</v>
      </c>
    </row>
    <row r="252" spans="1:18" x14ac:dyDescent="0.25">
      <c r="A252" t="s">
        <v>140</v>
      </c>
      <c r="B252" t="s">
        <v>161</v>
      </c>
      <c r="C252" t="s">
        <v>162</v>
      </c>
      <c r="D252" s="47">
        <v>2608</v>
      </c>
      <c r="E252" s="2"/>
      <c r="F252" s="37">
        <f t="shared" si="64"/>
        <v>0</v>
      </c>
      <c r="G252" s="2"/>
      <c r="H252" s="12">
        <f t="shared" si="65"/>
        <v>0</v>
      </c>
      <c r="I252" s="2"/>
      <c r="J252" s="16">
        <v>2608</v>
      </c>
      <c r="K252" s="2"/>
      <c r="L252" s="13">
        <f t="shared" si="66"/>
        <v>0</v>
      </c>
      <c r="M252" s="2"/>
      <c r="N252" s="12">
        <f t="shared" si="67"/>
        <v>0</v>
      </c>
      <c r="O252" s="2"/>
      <c r="P252" s="12">
        <v>2608</v>
      </c>
    </row>
    <row r="253" spans="1:18" x14ac:dyDescent="0.25">
      <c r="A253" t="s">
        <v>140</v>
      </c>
      <c r="B253" t="s">
        <v>87</v>
      </c>
      <c r="C253" t="s">
        <v>88</v>
      </c>
      <c r="D253" s="47">
        <v>13000</v>
      </c>
      <c r="E253" s="2"/>
      <c r="F253" s="37">
        <f t="shared" si="64"/>
        <v>0</v>
      </c>
      <c r="G253" s="2"/>
      <c r="H253" s="12">
        <f t="shared" si="65"/>
        <v>0</v>
      </c>
      <c r="I253" s="2"/>
      <c r="J253" s="16">
        <v>13000</v>
      </c>
      <c r="K253" s="2"/>
      <c r="L253" s="13">
        <f t="shared" si="66"/>
        <v>0</v>
      </c>
      <c r="M253" s="2"/>
      <c r="N253" s="12">
        <f t="shared" si="67"/>
        <v>0</v>
      </c>
      <c r="O253" s="2"/>
      <c r="P253" s="12">
        <v>13000</v>
      </c>
    </row>
    <row r="254" spans="1:18" x14ac:dyDescent="0.25">
      <c r="A254" t="s">
        <v>140</v>
      </c>
      <c r="B254" t="s">
        <v>123</v>
      </c>
      <c r="C254" t="s">
        <v>124</v>
      </c>
      <c r="D254" s="47">
        <v>7768</v>
      </c>
      <c r="E254" s="2"/>
      <c r="F254" s="37">
        <f t="shared" si="64"/>
        <v>0</v>
      </c>
      <c r="G254" s="2"/>
      <c r="H254" s="12">
        <f t="shared" si="65"/>
        <v>0</v>
      </c>
      <c r="I254" s="2"/>
      <c r="J254" s="16">
        <v>7768</v>
      </c>
      <c r="K254" s="2"/>
      <c r="L254" s="13">
        <f t="shared" si="66"/>
        <v>0</v>
      </c>
      <c r="M254" s="2"/>
      <c r="N254" s="12">
        <f t="shared" si="67"/>
        <v>0</v>
      </c>
      <c r="O254" s="2"/>
      <c r="P254" s="12">
        <v>7768</v>
      </c>
    </row>
    <row r="255" spans="1:18" x14ac:dyDescent="0.25">
      <c r="A255" t="s">
        <v>140</v>
      </c>
      <c r="B255" t="s">
        <v>163</v>
      </c>
      <c r="C255" t="s">
        <v>164</v>
      </c>
      <c r="D255" s="47">
        <v>2000</v>
      </c>
      <c r="E255" s="2"/>
      <c r="F255" s="37">
        <f t="shared" si="64"/>
        <v>0</v>
      </c>
      <c r="G255" s="2"/>
      <c r="H255" s="12">
        <f t="shared" si="65"/>
        <v>0</v>
      </c>
      <c r="I255" s="2"/>
      <c r="J255" s="16">
        <v>2000</v>
      </c>
      <c r="K255" s="2"/>
      <c r="L255" s="13">
        <f t="shared" si="66"/>
        <v>0</v>
      </c>
      <c r="M255" s="2"/>
      <c r="N255" s="12">
        <f t="shared" si="67"/>
        <v>0</v>
      </c>
      <c r="O255" s="2"/>
      <c r="P255" s="12">
        <v>2000</v>
      </c>
    </row>
    <row r="256" spans="1:18" x14ac:dyDescent="0.25">
      <c r="A256" t="s">
        <v>140</v>
      </c>
      <c r="B256" t="s">
        <v>69</v>
      </c>
      <c r="C256" t="s">
        <v>70</v>
      </c>
      <c r="D256" s="47">
        <v>5500</v>
      </c>
      <c r="E256" s="2"/>
      <c r="F256" s="37">
        <f t="shared" si="64"/>
        <v>0</v>
      </c>
      <c r="G256" s="2"/>
      <c r="H256" s="12">
        <f t="shared" si="65"/>
        <v>0</v>
      </c>
      <c r="I256" s="2"/>
      <c r="J256" s="16">
        <v>5500</v>
      </c>
      <c r="K256" s="2"/>
      <c r="L256" s="13">
        <f t="shared" si="66"/>
        <v>0</v>
      </c>
      <c r="M256" s="2"/>
      <c r="N256" s="12">
        <f t="shared" si="67"/>
        <v>0</v>
      </c>
      <c r="O256" s="2"/>
      <c r="P256" s="12">
        <v>5500</v>
      </c>
    </row>
    <row r="257" spans="1:17" x14ac:dyDescent="0.25">
      <c r="A257" t="s">
        <v>140</v>
      </c>
      <c r="B257" t="s">
        <v>71</v>
      </c>
      <c r="C257" t="s">
        <v>72</v>
      </c>
      <c r="D257" s="47">
        <f>23750-5000</f>
        <v>18750</v>
      </c>
      <c r="E257" s="2"/>
      <c r="F257" s="37">
        <f t="shared" si="64"/>
        <v>-0.21052631578947367</v>
      </c>
      <c r="G257" s="2"/>
      <c r="H257" s="12">
        <f t="shared" si="65"/>
        <v>-5000</v>
      </c>
      <c r="I257" s="2"/>
      <c r="J257" s="16">
        <v>23750</v>
      </c>
      <c r="K257" s="2"/>
      <c r="L257" s="13">
        <f t="shared" si="66"/>
        <v>5.333333333333333</v>
      </c>
      <c r="M257" s="2"/>
      <c r="N257" s="12">
        <f t="shared" si="67"/>
        <v>20000</v>
      </c>
      <c r="O257" s="2"/>
      <c r="P257" s="12">
        <v>3750</v>
      </c>
      <c r="Q257" t="s">
        <v>428</v>
      </c>
    </row>
    <row r="258" spans="1:17" x14ac:dyDescent="0.25">
      <c r="A258" t="s">
        <v>140</v>
      </c>
      <c r="B258" t="s">
        <v>165</v>
      </c>
      <c r="C258" t="s">
        <v>166</v>
      </c>
      <c r="D258" s="47">
        <f>115000-25000</f>
        <v>90000</v>
      </c>
      <c r="E258" s="2"/>
      <c r="F258" s="37">
        <f t="shared" si="64"/>
        <v>-0.21739130434782608</v>
      </c>
      <c r="G258" s="2"/>
      <c r="H258" s="12">
        <f t="shared" si="65"/>
        <v>-25000</v>
      </c>
      <c r="I258" s="2"/>
      <c r="J258" s="16">
        <v>115000</v>
      </c>
      <c r="K258" s="2"/>
      <c r="L258" s="13">
        <f t="shared" si="66"/>
        <v>0.71641791044776115</v>
      </c>
      <c r="M258" s="2"/>
      <c r="N258" s="12">
        <f t="shared" si="67"/>
        <v>48000</v>
      </c>
      <c r="O258" s="2"/>
      <c r="P258" s="12">
        <v>67000</v>
      </c>
      <c r="Q258" t="s">
        <v>423</v>
      </c>
    </row>
    <row r="259" spans="1:17" x14ac:dyDescent="0.25">
      <c r="D259" s="2"/>
      <c r="E259" s="2"/>
      <c r="F259" s="2"/>
      <c r="G259" s="2"/>
      <c r="H259" s="2"/>
      <c r="I259" s="2"/>
      <c r="J259" s="2"/>
      <c r="K259" s="2"/>
      <c r="M259" s="2"/>
      <c r="O259" s="2"/>
    </row>
    <row r="260" spans="1:17" x14ac:dyDescent="0.25">
      <c r="A260" t="s">
        <v>5</v>
      </c>
      <c r="B260" t="s">
        <v>5</v>
      </c>
      <c r="C260" s="1" t="s">
        <v>366</v>
      </c>
      <c r="D260" s="8">
        <f>SUM(D223:D258)</f>
        <v>2518583</v>
      </c>
      <c r="E260" s="2"/>
      <c r="F260" s="15">
        <f>H260/J260</f>
        <v>-1.1654518612932164E-2</v>
      </c>
      <c r="G260" s="2"/>
      <c r="H260" s="8">
        <f>SUM(H223:H258)</f>
        <v>-29699</v>
      </c>
      <c r="I260" s="2"/>
      <c r="J260" s="8">
        <f>SUM(J223:J258)</f>
        <v>2548282</v>
      </c>
      <c r="K260" s="2"/>
      <c r="L260" s="15">
        <f>N260/P260</f>
        <v>0.13863999410188985</v>
      </c>
      <c r="M260" s="2"/>
      <c r="N260" s="8">
        <f>SUM(N223:N258)</f>
        <v>310277</v>
      </c>
      <c r="O260" s="2"/>
      <c r="P260" s="8">
        <f>SUM(P223:P258)</f>
        <v>2238005</v>
      </c>
    </row>
    <row r="261" spans="1:17" x14ac:dyDescent="0.25">
      <c r="D261" s="2"/>
      <c r="E261" s="2"/>
      <c r="F261" s="2"/>
      <c r="G261" s="2"/>
      <c r="H261" s="2"/>
      <c r="I261" s="2"/>
      <c r="J261" s="2"/>
      <c r="K261" s="2"/>
      <c r="M261" s="2"/>
      <c r="O261" s="2"/>
    </row>
    <row r="262" spans="1:17" x14ac:dyDescent="0.25">
      <c r="A262" t="s">
        <v>167</v>
      </c>
      <c r="B262" t="s">
        <v>57</v>
      </c>
      <c r="C262" t="s">
        <v>58</v>
      </c>
      <c r="D262" s="47">
        <f>ROUNDUP((95231.14),0)</f>
        <v>95232</v>
      </c>
      <c r="E262" s="2"/>
      <c r="F262" s="37">
        <f t="shared" ref="F262:F292" si="68">H262/J262</f>
        <v>0</v>
      </c>
      <c r="G262" s="2"/>
      <c r="H262" s="12">
        <f t="shared" ref="H262:H292" si="69">D262-J262</f>
        <v>0</v>
      </c>
      <c r="I262" s="2"/>
      <c r="J262" s="16">
        <f>ROUNDUP((95231.14),0)</f>
        <v>95232</v>
      </c>
      <c r="K262" s="2"/>
      <c r="L262" s="13">
        <f t="shared" ref="L262:L292" si="70">N262/P262</f>
        <v>8.6552723455719599E-2</v>
      </c>
      <c r="M262" s="2"/>
      <c r="N262" s="12">
        <f t="shared" ref="N262:N292" si="71">J262-P262</f>
        <v>7586</v>
      </c>
      <c r="O262" s="2"/>
      <c r="P262" s="12">
        <v>87646</v>
      </c>
      <c r="Q262" t="s">
        <v>355</v>
      </c>
    </row>
    <row r="263" spans="1:17" x14ac:dyDescent="0.25">
      <c r="A263" t="s">
        <v>167</v>
      </c>
      <c r="B263" t="s">
        <v>30</v>
      </c>
      <c r="C263" t="s">
        <v>31</v>
      </c>
      <c r="D263" s="47">
        <f>ROUNDUP((198775.67),0)</f>
        <v>198776</v>
      </c>
      <c r="E263" s="2"/>
      <c r="F263" s="37">
        <f t="shared" si="68"/>
        <v>0</v>
      </c>
      <c r="G263" s="2"/>
      <c r="H263" s="12">
        <f t="shared" si="69"/>
        <v>0</v>
      </c>
      <c r="I263" s="2"/>
      <c r="J263" s="16">
        <f>ROUNDUP((198775.67),0)</f>
        <v>198776</v>
      </c>
      <c r="K263" s="2"/>
      <c r="L263" s="13">
        <f t="shared" si="70"/>
        <v>1.1892835508563246</v>
      </c>
      <c r="M263" s="2"/>
      <c r="N263" s="12">
        <f t="shared" si="71"/>
        <v>107981</v>
      </c>
      <c r="O263" s="2"/>
      <c r="P263" s="12">
        <v>90795</v>
      </c>
      <c r="Q263" t="s">
        <v>369</v>
      </c>
    </row>
    <row r="264" spans="1:17" x14ac:dyDescent="0.25">
      <c r="A264" t="s">
        <v>167</v>
      </c>
      <c r="B264" t="s">
        <v>59</v>
      </c>
      <c r="C264" t="s">
        <v>168</v>
      </c>
      <c r="D264" s="47">
        <f>ROUNDUP((208525.3),0)</f>
        <v>208526</v>
      </c>
      <c r="E264" s="2"/>
      <c r="F264" s="37">
        <f t="shared" si="68"/>
        <v>0.10751368949931751</v>
      </c>
      <c r="G264" s="2"/>
      <c r="H264" s="12">
        <f t="shared" si="69"/>
        <v>20243</v>
      </c>
      <c r="I264" s="2"/>
      <c r="J264" s="16">
        <f>ROUNDUP((188282.72),0)</f>
        <v>188283</v>
      </c>
      <c r="K264" s="2"/>
      <c r="L264" s="13">
        <f t="shared" si="70"/>
        <v>2.8138480860590839E-2</v>
      </c>
      <c r="M264" s="2"/>
      <c r="N264" s="12">
        <f t="shared" si="71"/>
        <v>5153</v>
      </c>
      <c r="O264" s="2"/>
      <c r="P264" s="12">
        <v>183130</v>
      </c>
    </row>
    <row r="265" spans="1:17" x14ac:dyDescent="0.25">
      <c r="A265" t="s">
        <v>167</v>
      </c>
      <c r="B265" t="s">
        <v>34</v>
      </c>
      <c r="C265" t="s">
        <v>35</v>
      </c>
      <c r="D265" s="47">
        <f>ROUNDUP((1252.8),0)</f>
        <v>1253</v>
      </c>
      <c r="E265" s="2"/>
      <c r="F265" s="37">
        <f t="shared" si="68"/>
        <v>0</v>
      </c>
      <c r="G265" s="2"/>
      <c r="H265" s="12">
        <f t="shared" si="69"/>
        <v>0</v>
      </c>
      <c r="I265" s="2"/>
      <c r="J265" s="16">
        <f>ROUNDUP((1252.8),0)</f>
        <v>1253</v>
      </c>
      <c r="K265" s="2"/>
      <c r="L265" s="13">
        <f t="shared" si="70"/>
        <v>0.25803212851405621</v>
      </c>
      <c r="M265" s="2"/>
      <c r="N265" s="12">
        <f t="shared" si="71"/>
        <v>257</v>
      </c>
      <c r="O265" s="2"/>
      <c r="P265" s="12">
        <v>996</v>
      </c>
    </row>
    <row r="266" spans="1:17" x14ac:dyDescent="0.25">
      <c r="A266" t="s">
        <v>167</v>
      </c>
      <c r="B266" t="s">
        <v>9</v>
      </c>
      <c r="C266" t="s">
        <v>10</v>
      </c>
      <c r="D266" s="47">
        <f>ROUNDUP((68527.71),0)</f>
        <v>68528</v>
      </c>
      <c r="E266" s="2"/>
      <c r="F266" s="37">
        <f t="shared" si="68"/>
        <v>4.1965697603697845E-2</v>
      </c>
      <c r="G266" s="2"/>
      <c r="H266" s="12">
        <f t="shared" si="69"/>
        <v>2760</v>
      </c>
      <c r="I266" s="2"/>
      <c r="J266" s="16">
        <f>ROUNDUP((65767.34),)</f>
        <v>65768</v>
      </c>
      <c r="K266" s="2"/>
      <c r="L266" s="13">
        <f t="shared" si="70"/>
        <v>2.6136263736263738</v>
      </c>
      <c r="M266" s="2"/>
      <c r="N266" s="12">
        <f t="shared" si="71"/>
        <v>47568</v>
      </c>
      <c r="O266" s="2"/>
      <c r="P266" s="12">
        <v>18200</v>
      </c>
    </row>
    <row r="267" spans="1:17" x14ac:dyDescent="0.25">
      <c r="A267" t="s">
        <v>167</v>
      </c>
      <c r="B267" t="s">
        <v>36</v>
      </c>
      <c r="C267" t="s">
        <v>37</v>
      </c>
      <c r="D267" s="47">
        <f>ROUNDUP((37632.87),0)</f>
        <v>37633</v>
      </c>
      <c r="E267" s="2"/>
      <c r="F267" s="37">
        <f t="shared" si="68"/>
        <v>0</v>
      </c>
      <c r="G267" s="2"/>
      <c r="H267" s="12">
        <f t="shared" si="69"/>
        <v>0</v>
      </c>
      <c r="I267" s="2"/>
      <c r="J267" s="16">
        <f>ROUNDUP((37632.87),0)</f>
        <v>37633</v>
      </c>
      <c r="K267" s="2"/>
      <c r="L267" s="13">
        <f t="shared" si="70"/>
        <v>0.57387813140395638</v>
      </c>
      <c r="M267" s="2"/>
      <c r="N267" s="12">
        <f t="shared" si="71"/>
        <v>13722</v>
      </c>
      <c r="O267" s="2"/>
      <c r="P267" s="12">
        <v>23911</v>
      </c>
    </row>
    <row r="268" spans="1:17" x14ac:dyDescent="0.25">
      <c r="A268" t="s">
        <v>167</v>
      </c>
      <c r="B268" t="s">
        <v>38</v>
      </c>
      <c r="C268" t="s">
        <v>39</v>
      </c>
      <c r="D268" s="47">
        <f>ROUNDUP((96792.28),0)</f>
        <v>96793</v>
      </c>
      <c r="E268" s="2"/>
      <c r="F268" s="37">
        <f t="shared" si="68"/>
        <v>0</v>
      </c>
      <c r="G268" s="2"/>
      <c r="H268" s="12">
        <f t="shared" si="69"/>
        <v>0</v>
      </c>
      <c r="I268" s="2"/>
      <c r="J268" s="16">
        <f>ROUNDUP((96792.28),)</f>
        <v>96793</v>
      </c>
      <c r="K268" s="2"/>
      <c r="L268" s="13">
        <f t="shared" si="70"/>
        <v>0.83177835392971367</v>
      </c>
      <c r="M268" s="2"/>
      <c r="N268" s="12">
        <f t="shared" si="71"/>
        <v>43952</v>
      </c>
      <c r="O268" s="2"/>
      <c r="P268" s="12">
        <v>52841</v>
      </c>
    </row>
    <row r="269" spans="1:17" x14ac:dyDescent="0.25">
      <c r="A269" t="s">
        <v>167</v>
      </c>
      <c r="B269" t="s">
        <v>11</v>
      </c>
      <c r="C269" t="s">
        <v>12</v>
      </c>
      <c r="D269" s="47">
        <f>ROUNDUP((38443.71),0)</f>
        <v>38444</v>
      </c>
      <c r="E269" s="2"/>
      <c r="F269" s="37">
        <f t="shared" si="68"/>
        <v>4.1955767562879442E-2</v>
      </c>
      <c r="G269" s="2"/>
      <c r="H269" s="12">
        <f t="shared" si="69"/>
        <v>1548</v>
      </c>
      <c r="I269" s="2"/>
      <c r="J269" s="16">
        <f>ROUNDUP((36895.15),0)</f>
        <v>36896</v>
      </c>
      <c r="K269" s="2"/>
      <c r="L269" s="13">
        <f t="shared" si="70"/>
        <v>0.33391178597252352</v>
      </c>
      <c r="M269" s="2"/>
      <c r="N269" s="12">
        <f t="shared" si="71"/>
        <v>9236</v>
      </c>
      <c r="O269" s="2"/>
      <c r="P269" s="12">
        <v>27660</v>
      </c>
    </row>
    <row r="270" spans="1:17" x14ac:dyDescent="0.25">
      <c r="A270" t="s">
        <v>167</v>
      </c>
      <c r="B270" t="s">
        <v>13</v>
      </c>
      <c r="C270" t="s">
        <v>14</v>
      </c>
      <c r="D270" s="47">
        <v>500</v>
      </c>
      <c r="E270" s="2"/>
      <c r="F270" s="37">
        <f t="shared" si="68"/>
        <v>0</v>
      </c>
      <c r="G270" s="2"/>
      <c r="H270" s="12">
        <f t="shared" si="69"/>
        <v>0</v>
      </c>
      <c r="I270" s="2"/>
      <c r="J270" s="16">
        <v>500</v>
      </c>
      <c r="K270" s="2"/>
      <c r="L270" s="13">
        <f t="shared" si="70"/>
        <v>0</v>
      </c>
      <c r="M270" s="2"/>
      <c r="N270" s="12">
        <f t="shared" si="71"/>
        <v>0</v>
      </c>
      <c r="O270" s="2"/>
      <c r="P270" s="12">
        <v>500</v>
      </c>
    </row>
    <row r="271" spans="1:17" x14ac:dyDescent="0.25">
      <c r="A271" t="s">
        <v>167</v>
      </c>
      <c r="B271" t="s">
        <v>15</v>
      </c>
      <c r="C271" t="s">
        <v>16</v>
      </c>
      <c r="D271" s="47">
        <v>9000</v>
      </c>
      <c r="E271" s="2"/>
      <c r="F271" s="37">
        <f t="shared" si="68"/>
        <v>0</v>
      </c>
      <c r="G271" s="2"/>
      <c r="H271" s="12">
        <f t="shared" si="69"/>
        <v>0</v>
      </c>
      <c r="I271" s="2"/>
      <c r="J271" s="16">
        <v>9000</v>
      </c>
      <c r="K271" s="2"/>
      <c r="L271" s="13">
        <f t="shared" si="70"/>
        <v>0</v>
      </c>
      <c r="M271" s="2"/>
      <c r="N271" s="12">
        <f t="shared" si="71"/>
        <v>0</v>
      </c>
      <c r="O271" s="2"/>
      <c r="P271" s="12">
        <v>9000</v>
      </c>
    </row>
    <row r="272" spans="1:17" x14ac:dyDescent="0.25">
      <c r="A272" t="s">
        <v>167</v>
      </c>
      <c r="B272" t="s">
        <v>19</v>
      </c>
      <c r="C272" t="s">
        <v>20</v>
      </c>
      <c r="D272" s="47">
        <v>75</v>
      </c>
      <c r="E272" s="2"/>
      <c r="F272" s="37">
        <f t="shared" si="68"/>
        <v>0</v>
      </c>
      <c r="G272" s="2"/>
      <c r="H272" s="12">
        <f t="shared" si="69"/>
        <v>0</v>
      </c>
      <c r="I272" s="2"/>
      <c r="J272" s="16">
        <v>75</v>
      </c>
      <c r="K272" s="2"/>
      <c r="L272" s="13">
        <f t="shared" si="70"/>
        <v>0</v>
      </c>
      <c r="M272" s="2"/>
      <c r="N272" s="12">
        <f t="shared" si="71"/>
        <v>0</v>
      </c>
      <c r="O272" s="2"/>
      <c r="P272" s="12">
        <v>75</v>
      </c>
    </row>
    <row r="273" spans="1:17" x14ac:dyDescent="0.25">
      <c r="A273" t="s">
        <v>167</v>
      </c>
      <c r="B273" t="s">
        <v>153</v>
      </c>
      <c r="C273" t="s">
        <v>154</v>
      </c>
      <c r="D273" s="47">
        <v>6000</v>
      </c>
      <c r="E273" s="2"/>
      <c r="F273" s="37">
        <f t="shared" si="68"/>
        <v>0</v>
      </c>
      <c r="G273" s="2"/>
      <c r="H273" s="12">
        <f t="shared" si="69"/>
        <v>0</v>
      </c>
      <c r="I273" s="2"/>
      <c r="J273" s="16">
        <v>6000</v>
      </c>
      <c r="K273" s="2"/>
      <c r="L273" s="13">
        <f t="shared" si="70"/>
        <v>0.5</v>
      </c>
      <c r="M273" s="2"/>
      <c r="N273" s="12">
        <f t="shared" si="71"/>
        <v>2000</v>
      </c>
      <c r="O273" s="2"/>
      <c r="P273" s="12">
        <v>4000</v>
      </c>
      <c r="Q273" t="s">
        <v>370</v>
      </c>
    </row>
    <row r="274" spans="1:17" x14ac:dyDescent="0.25">
      <c r="A274" t="s">
        <v>167</v>
      </c>
      <c r="B274" t="s">
        <v>40</v>
      </c>
      <c r="C274" t="s">
        <v>41</v>
      </c>
      <c r="D274" s="47">
        <v>420</v>
      </c>
      <c r="E274" s="2"/>
      <c r="F274" s="37">
        <f t="shared" si="68"/>
        <v>0</v>
      </c>
      <c r="G274" s="2"/>
      <c r="H274" s="12">
        <f t="shared" si="69"/>
        <v>0</v>
      </c>
      <c r="I274" s="2"/>
      <c r="J274" s="16">
        <v>420</v>
      </c>
      <c r="K274" s="2"/>
      <c r="L274" s="13">
        <f t="shared" si="70"/>
        <v>0</v>
      </c>
      <c r="M274" s="2"/>
      <c r="N274" s="12">
        <f t="shared" si="71"/>
        <v>0</v>
      </c>
      <c r="O274" s="2"/>
      <c r="P274" s="12">
        <v>420</v>
      </c>
    </row>
    <row r="275" spans="1:17" x14ac:dyDescent="0.25">
      <c r="A275" t="s">
        <v>167</v>
      </c>
      <c r="B275" t="s">
        <v>155</v>
      </c>
      <c r="C275" t="s">
        <v>156</v>
      </c>
      <c r="D275" s="47">
        <v>5000</v>
      </c>
      <c r="E275" s="2"/>
      <c r="F275" s="37">
        <f t="shared" si="68"/>
        <v>0</v>
      </c>
      <c r="G275" s="2"/>
      <c r="H275" s="12">
        <f t="shared" si="69"/>
        <v>0</v>
      </c>
      <c r="I275" s="2"/>
      <c r="J275" s="16">
        <v>5000</v>
      </c>
      <c r="K275" s="2"/>
      <c r="L275" s="13">
        <f t="shared" si="70"/>
        <v>0</v>
      </c>
      <c r="M275" s="2"/>
      <c r="N275" s="12">
        <f t="shared" si="71"/>
        <v>0</v>
      </c>
      <c r="O275" s="2"/>
      <c r="P275" s="12">
        <v>5000</v>
      </c>
    </row>
    <row r="276" spans="1:17" x14ac:dyDescent="0.25">
      <c r="A276" t="s">
        <v>167</v>
      </c>
      <c r="B276" t="s">
        <v>169</v>
      </c>
      <c r="C276" t="s">
        <v>170</v>
      </c>
      <c r="D276" s="47">
        <v>6200</v>
      </c>
      <c r="E276" s="2"/>
      <c r="F276" s="37">
        <f t="shared" si="68"/>
        <v>0</v>
      </c>
      <c r="G276" s="2"/>
      <c r="H276" s="12">
        <f t="shared" si="69"/>
        <v>0</v>
      </c>
      <c r="I276" s="2"/>
      <c r="J276" s="16">
        <v>6200</v>
      </c>
      <c r="K276" s="2"/>
      <c r="L276" s="13">
        <f t="shared" si="70"/>
        <v>0</v>
      </c>
      <c r="M276" s="2"/>
      <c r="N276" s="12">
        <f t="shared" si="71"/>
        <v>0</v>
      </c>
      <c r="O276" s="2"/>
      <c r="P276" s="12">
        <v>6200</v>
      </c>
    </row>
    <row r="277" spans="1:17" x14ac:dyDescent="0.25">
      <c r="A277" t="s">
        <v>167</v>
      </c>
      <c r="B277" t="s">
        <v>85</v>
      </c>
      <c r="C277" t="s">
        <v>86</v>
      </c>
      <c r="D277" s="47">
        <v>2400</v>
      </c>
      <c r="E277" s="2"/>
      <c r="F277" s="37">
        <f t="shared" si="68"/>
        <v>0</v>
      </c>
      <c r="G277" s="2"/>
      <c r="H277" s="12">
        <f t="shared" si="69"/>
        <v>0</v>
      </c>
      <c r="I277" s="2"/>
      <c r="J277" s="16">
        <v>2400</v>
      </c>
      <c r="K277" s="2"/>
      <c r="L277" s="13">
        <f t="shared" si="70"/>
        <v>0.22137404580152673</v>
      </c>
      <c r="M277" s="2"/>
      <c r="N277" s="12">
        <f t="shared" si="71"/>
        <v>435</v>
      </c>
      <c r="O277" s="2"/>
      <c r="P277" s="12">
        <v>1965</v>
      </c>
    </row>
    <row r="278" spans="1:17" x14ac:dyDescent="0.25">
      <c r="A278" t="s">
        <v>167</v>
      </c>
      <c r="B278" t="s">
        <v>157</v>
      </c>
      <c r="C278" t="s">
        <v>158</v>
      </c>
      <c r="D278" s="47">
        <v>8420</v>
      </c>
      <c r="E278" s="2"/>
      <c r="F278" s="37">
        <f t="shared" si="68"/>
        <v>0</v>
      </c>
      <c r="G278" s="2"/>
      <c r="H278" s="12">
        <f t="shared" si="69"/>
        <v>0</v>
      </c>
      <c r="I278" s="2"/>
      <c r="J278" s="16">
        <v>8420</v>
      </c>
      <c r="K278" s="2"/>
      <c r="L278" s="13">
        <f t="shared" si="70"/>
        <v>0.60687022900763354</v>
      </c>
      <c r="M278" s="2"/>
      <c r="N278" s="12">
        <f t="shared" si="71"/>
        <v>3180</v>
      </c>
      <c r="O278" s="2"/>
      <c r="P278" s="12">
        <v>5240</v>
      </c>
    </row>
    <row r="279" spans="1:17" x14ac:dyDescent="0.25">
      <c r="A279" t="s">
        <v>167</v>
      </c>
      <c r="B279" t="s">
        <v>159</v>
      </c>
      <c r="C279" t="s">
        <v>160</v>
      </c>
      <c r="D279" s="47">
        <v>4800</v>
      </c>
      <c r="E279" s="2"/>
      <c r="F279" s="37">
        <f t="shared" si="68"/>
        <v>0</v>
      </c>
      <c r="G279" s="2"/>
      <c r="H279" s="12">
        <f t="shared" si="69"/>
        <v>0</v>
      </c>
      <c r="I279" s="2"/>
      <c r="J279" s="16">
        <v>4800</v>
      </c>
      <c r="K279" s="2"/>
      <c r="L279" s="13">
        <f t="shared" si="70"/>
        <v>0.7142857142857143</v>
      </c>
      <c r="M279" s="2"/>
      <c r="N279" s="12">
        <f t="shared" si="71"/>
        <v>2000</v>
      </c>
      <c r="O279" s="2"/>
      <c r="P279" s="12">
        <v>2800</v>
      </c>
    </row>
    <row r="280" spans="1:17" x14ac:dyDescent="0.25">
      <c r="A280" t="s">
        <v>167</v>
      </c>
      <c r="B280" t="s">
        <v>23</v>
      </c>
      <c r="C280" t="s">
        <v>24</v>
      </c>
      <c r="D280" s="47">
        <v>7500</v>
      </c>
      <c r="E280" s="2"/>
      <c r="F280" s="37">
        <f t="shared" si="68"/>
        <v>0</v>
      </c>
      <c r="G280" s="2"/>
      <c r="H280" s="12">
        <f t="shared" si="69"/>
        <v>0</v>
      </c>
      <c r="I280" s="2"/>
      <c r="J280" s="16">
        <v>7500</v>
      </c>
      <c r="K280" s="2"/>
      <c r="L280" s="13">
        <f t="shared" si="70"/>
        <v>0</v>
      </c>
      <c r="M280" s="2"/>
      <c r="N280" s="12">
        <f t="shared" si="71"/>
        <v>0</v>
      </c>
      <c r="O280" s="2"/>
      <c r="P280" s="12">
        <v>7500</v>
      </c>
    </row>
    <row r="281" spans="1:17" x14ac:dyDescent="0.25">
      <c r="A281" t="s">
        <v>167</v>
      </c>
      <c r="B281" t="s">
        <v>44</v>
      </c>
      <c r="C281" t="s">
        <v>45</v>
      </c>
      <c r="D281" s="47">
        <v>150</v>
      </c>
      <c r="E281" s="2"/>
      <c r="F281" s="37">
        <f t="shared" si="68"/>
        <v>0</v>
      </c>
      <c r="G281" s="2"/>
      <c r="H281" s="12">
        <f t="shared" si="69"/>
        <v>0</v>
      </c>
      <c r="I281" s="2"/>
      <c r="J281" s="16">
        <v>150</v>
      </c>
      <c r="K281" s="2"/>
      <c r="L281" s="13">
        <f t="shared" si="70"/>
        <v>0</v>
      </c>
      <c r="M281" s="2"/>
      <c r="N281" s="12">
        <f t="shared" si="71"/>
        <v>0</v>
      </c>
      <c r="O281" s="2"/>
      <c r="P281" s="12">
        <v>150</v>
      </c>
    </row>
    <row r="282" spans="1:17" x14ac:dyDescent="0.25">
      <c r="A282" t="s">
        <v>167</v>
      </c>
      <c r="B282" t="s">
        <v>171</v>
      </c>
      <c r="C282" t="s">
        <v>172</v>
      </c>
      <c r="D282" s="47">
        <v>75000</v>
      </c>
      <c r="E282" s="2"/>
      <c r="F282" s="37">
        <f t="shared" si="68"/>
        <v>-0.16666666666666666</v>
      </c>
      <c r="G282" s="2"/>
      <c r="H282" s="12">
        <f t="shared" si="69"/>
        <v>-15000</v>
      </c>
      <c r="I282" s="2"/>
      <c r="J282" s="16">
        <v>90000</v>
      </c>
      <c r="K282" s="2"/>
      <c r="L282" s="13">
        <f t="shared" si="70"/>
        <v>0.2</v>
      </c>
      <c r="M282" s="2"/>
      <c r="N282" s="12">
        <f t="shared" si="71"/>
        <v>15000</v>
      </c>
      <c r="O282" s="2"/>
      <c r="P282" s="12">
        <v>75000</v>
      </c>
    </row>
    <row r="283" spans="1:17" x14ac:dyDescent="0.25">
      <c r="A283" t="s">
        <v>167</v>
      </c>
      <c r="B283" t="s">
        <v>121</v>
      </c>
      <c r="C283" t="s">
        <v>173</v>
      </c>
      <c r="D283" s="47">
        <v>599</v>
      </c>
      <c r="E283" s="2"/>
      <c r="F283" s="37">
        <f t="shared" si="68"/>
        <v>0.14095238095238094</v>
      </c>
      <c r="G283" s="2"/>
      <c r="H283" s="12">
        <f t="shared" si="69"/>
        <v>74</v>
      </c>
      <c r="I283" s="2"/>
      <c r="J283" s="16">
        <v>525</v>
      </c>
      <c r="K283" s="2"/>
      <c r="L283" s="13">
        <f t="shared" si="70"/>
        <v>0</v>
      </c>
      <c r="M283" s="2"/>
      <c r="N283" s="12">
        <f t="shared" si="71"/>
        <v>0</v>
      </c>
      <c r="O283" s="2"/>
      <c r="P283" s="12">
        <v>525</v>
      </c>
    </row>
    <row r="284" spans="1:17" x14ac:dyDescent="0.25">
      <c r="A284" t="s">
        <v>167</v>
      </c>
      <c r="B284" t="s">
        <v>123</v>
      </c>
      <c r="C284" t="s">
        <v>124</v>
      </c>
      <c r="D284" s="47">
        <v>2508</v>
      </c>
      <c r="E284" s="2"/>
      <c r="F284" s="37">
        <f t="shared" si="68"/>
        <v>0</v>
      </c>
      <c r="G284" s="2"/>
      <c r="H284" s="12">
        <f t="shared" si="69"/>
        <v>0</v>
      </c>
      <c r="I284" s="2"/>
      <c r="J284" s="16">
        <v>2508</v>
      </c>
      <c r="K284" s="2"/>
      <c r="L284" s="13">
        <f t="shared" si="70"/>
        <v>0</v>
      </c>
      <c r="M284" s="2"/>
      <c r="N284" s="12">
        <f t="shared" si="71"/>
        <v>0</v>
      </c>
      <c r="O284" s="2"/>
      <c r="P284" s="12">
        <v>2508</v>
      </c>
    </row>
    <row r="285" spans="1:17" x14ac:dyDescent="0.25">
      <c r="A285" t="s">
        <v>167</v>
      </c>
      <c r="B285" t="s">
        <v>125</v>
      </c>
      <c r="C285" t="s">
        <v>126</v>
      </c>
      <c r="D285" s="47">
        <f>ROUNDUP((360.88),0)</f>
        <v>361</v>
      </c>
      <c r="E285" s="2"/>
      <c r="F285" s="37">
        <f t="shared" si="68"/>
        <v>4.0345821325648415E-2</v>
      </c>
      <c r="G285" s="2"/>
      <c r="H285" s="12">
        <f t="shared" si="69"/>
        <v>14</v>
      </c>
      <c r="I285" s="2"/>
      <c r="J285" s="16">
        <v>347</v>
      </c>
      <c r="K285" s="2"/>
      <c r="L285" s="13">
        <f t="shared" si="70"/>
        <v>0</v>
      </c>
      <c r="M285" s="2"/>
      <c r="N285" s="12">
        <f t="shared" si="71"/>
        <v>0</v>
      </c>
      <c r="O285" s="2"/>
      <c r="P285" s="12">
        <v>347</v>
      </c>
    </row>
    <row r="286" spans="1:17" x14ac:dyDescent="0.25">
      <c r="A286" t="s">
        <v>167</v>
      </c>
      <c r="B286" t="s">
        <v>69</v>
      </c>
      <c r="C286" t="s">
        <v>70</v>
      </c>
      <c r="D286" s="47">
        <v>40000</v>
      </c>
      <c r="E286" s="2"/>
      <c r="F286" s="37">
        <f t="shared" si="68"/>
        <v>0</v>
      </c>
      <c r="G286" s="2"/>
      <c r="H286" s="12">
        <f t="shared" si="69"/>
        <v>0</v>
      </c>
      <c r="I286" s="2"/>
      <c r="J286" s="16">
        <v>40000</v>
      </c>
      <c r="K286" s="2"/>
      <c r="L286" s="13">
        <f t="shared" si="70"/>
        <v>0.6</v>
      </c>
      <c r="M286" s="2"/>
      <c r="N286" s="12">
        <f t="shared" si="71"/>
        <v>15000</v>
      </c>
      <c r="O286" s="2"/>
      <c r="P286" s="12">
        <v>25000</v>
      </c>
    </row>
    <row r="287" spans="1:17" x14ac:dyDescent="0.25">
      <c r="A287" t="s">
        <v>167</v>
      </c>
      <c r="B287" t="s">
        <v>174</v>
      </c>
      <c r="C287" t="s">
        <v>175</v>
      </c>
      <c r="D287" s="47">
        <v>16878</v>
      </c>
      <c r="E287" s="2"/>
      <c r="F287" s="37">
        <f t="shared" si="68"/>
        <v>0</v>
      </c>
      <c r="G287" s="2"/>
      <c r="H287" s="12">
        <f t="shared" si="69"/>
        <v>0</v>
      </c>
      <c r="I287" s="2"/>
      <c r="J287" s="16">
        <v>16878</v>
      </c>
      <c r="K287" s="2"/>
      <c r="L287" s="13">
        <f t="shared" si="70"/>
        <v>0.22127351664254705</v>
      </c>
      <c r="M287" s="2"/>
      <c r="N287" s="12">
        <f t="shared" si="71"/>
        <v>3058</v>
      </c>
      <c r="O287" s="2"/>
      <c r="P287" s="12">
        <v>13820</v>
      </c>
      <c r="Q287" t="s">
        <v>429</v>
      </c>
    </row>
    <row r="288" spans="1:17" x14ac:dyDescent="0.25">
      <c r="A288" t="s">
        <v>167</v>
      </c>
      <c r="B288" t="s">
        <v>176</v>
      </c>
      <c r="C288" t="s">
        <v>177</v>
      </c>
      <c r="D288" s="47">
        <v>3500</v>
      </c>
      <c r="E288" s="2"/>
      <c r="F288" s="37">
        <f t="shared" si="68"/>
        <v>0</v>
      </c>
      <c r="G288" s="2"/>
      <c r="H288" s="12">
        <f t="shared" si="69"/>
        <v>0</v>
      </c>
      <c r="I288" s="2"/>
      <c r="J288" s="16">
        <v>3500</v>
      </c>
      <c r="K288" s="2"/>
      <c r="L288" s="13">
        <f t="shared" si="70"/>
        <v>0.16666666666666666</v>
      </c>
      <c r="M288" s="2"/>
      <c r="N288" s="12">
        <f t="shared" si="71"/>
        <v>500</v>
      </c>
      <c r="O288" s="2"/>
      <c r="P288" s="12">
        <v>3000</v>
      </c>
    </row>
    <row r="289" spans="1:16" x14ac:dyDescent="0.25">
      <c r="A289" t="s">
        <v>167</v>
      </c>
      <c r="B289" t="s">
        <v>178</v>
      </c>
      <c r="C289" t="s">
        <v>179</v>
      </c>
      <c r="D289" s="47">
        <v>2500</v>
      </c>
      <c r="E289" s="2"/>
      <c r="F289" s="37">
        <f t="shared" si="68"/>
        <v>0</v>
      </c>
      <c r="G289" s="2"/>
      <c r="H289" s="12">
        <f t="shared" si="69"/>
        <v>0</v>
      </c>
      <c r="I289" s="2"/>
      <c r="J289" s="16">
        <v>2500</v>
      </c>
      <c r="K289" s="2"/>
      <c r="L289" s="13">
        <f t="shared" si="70"/>
        <v>0</v>
      </c>
      <c r="M289" s="2"/>
      <c r="N289" s="12">
        <f t="shared" si="71"/>
        <v>0</v>
      </c>
      <c r="O289" s="2"/>
      <c r="P289" s="12">
        <v>2500</v>
      </c>
    </row>
    <row r="290" spans="1:16" x14ac:dyDescent="0.25">
      <c r="A290" t="s">
        <v>167</v>
      </c>
      <c r="B290" t="s">
        <v>180</v>
      </c>
      <c r="C290" t="s">
        <v>181</v>
      </c>
      <c r="D290" s="47">
        <v>40900</v>
      </c>
      <c r="E290" s="2"/>
      <c r="F290" s="37">
        <f t="shared" si="68"/>
        <v>0</v>
      </c>
      <c r="G290" s="2"/>
      <c r="H290" s="12">
        <f t="shared" si="69"/>
        <v>0</v>
      </c>
      <c r="I290" s="2"/>
      <c r="J290" s="16">
        <v>40900</v>
      </c>
      <c r="K290" s="2"/>
      <c r="L290" s="13">
        <f t="shared" si="70"/>
        <v>-4.9875717239296583E-2</v>
      </c>
      <c r="M290" s="2"/>
      <c r="N290" s="12">
        <f t="shared" si="71"/>
        <v>-2147</v>
      </c>
      <c r="O290" s="2"/>
      <c r="P290" s="12">
        <v>43047</v>
      </c>
    </row>
    <row r="291" spans="1:16" x14ac:dyDescent="0.25">
      <c r="A291" t="s">
        <v>167</v>
      </c>
      <c r="B291" t="s">
        <v>182</v>
      </c>
      <c r="C291" t="s">
        <v>183</v>
      </c>
      <c r="D291" s="47">
        <v>12000</v>
      </c>
      <c r="E291" s="2"/>
      <c r="F291" s="37">
        <f t="shared" si="68"/>
        <v>0</v>
      </c>
      <c r="G291" s="2"/>
      <c r="H291" s="12">
        <f t="shared" si="69"/>
        <v>0</v>
      </c>
      <c r="I291" s="2"/>
      <c r="J291" s="16">
        <v>12000</v>
      </c>
      <c r="K291" s="2"/>
      <c r="L291" s="13">
        <f t="shared" si="70"/>
        <v>6.1946902654867256E-2</v>
      </c>
      <c r="M291" s="2"/>
      <c r="N291" s="12">
        <f t="shared" si="71"/>
        <v>700</v>
      </c>
      <c r="O291" s="2"/>
      <c r="P291" s="12">
        <v>11300</v>
      </c>
    </row>
    <row r="292" spans="1:16" x14ac:dyDescent="0.25">
      <c r="A292" t="s">
        <v>167</v>
      </c>
      <c r="B292" t="s">
        <v>71</v>
      </c>
      <c r="C292" t="s">
        <v>72</v>
      </c>
      <c r="D292" s="47">
        <v>28600</v>
      </c>
      <c r="E292" s="2"/>
      <c r="F292" s="37">
        <f t="shared" si="68"/>
        <v>0</v>
      </c>
      <c r="G292" s="2"/>
      <c r="H292" s="12">
        <f t="shared" si="69"/>
        <v>0</v>
      </c>
      <c r="I292" s="2"/>
      <c r="J292" s="16">
        <v>28600</v>
      </c>
      <c r="K292" s="2"/>
      <c r="L292" s="13">
        <f t="shared" si="70"/>
        <v>-0.33949191685912239</v>
      </c>
      <c r="M292" s="2"/>
      <c r="N292" s="12">
        <f t="shared" si="71"/>
        <v>-14700</v>
      </c>
      <c r="O292" s="2"/>
      <c r="P292" s="12">
        <v>43300</v>
      </c>
    </row>
    <row r="293" spans="1:16" x14ac:dyDescent="0.25">
      <c r="D293" s="2"/>
      <c r="E293" s="2"/>
      <c r="F293" s="2"/>
      <c r="G293" s="2"/>
      <c r="H293" s="2"/>
      <c r="I293" s="2"/>
      <c r="J293" s="2"/>
      <c r="K293" s="2"/>
      <c r="M293" s="2"/>
      <c r="O293" s="2"/>
    </row>
    <row r="294" spans="1:16" x14ac:dyDescent="0.25">
      <c r="A294" t="s">
        <v>5</v>
      </c>
      <c r="B294" t="s">
        <v>5</v>
      </c>
      <c r="C294" s="1" t="s">
        <v>367</v>
      </c>
      <c r="D294" s="8">
        <f>SUM(D262:D292)</f>
        <v>1018496</v>
      </c>
      <c r="E294" s="2"/>
      <c r="F294" s="15">
        <f>H294/J294</f>
        <v>9.5543768839389531E-3</v>
      </c>
      <c r="G294" s="2"/>
      <c r="H294" s="8">
        <f>SUM(H262:H292)</f>
        <v>9639</v>
      </c>
      <c r="I294" s="2"/>
      <c r="J294" s="8">
        <f>SUM(J262:J292)</f>
        <v>1008857</v>
      </c>
      <c r="K294" s="2"/>
      <c r="L294" s="15">
        <f>N294/P294</f>
        <v>0.34806166953509998</v>
      </c>
      <c r="M294" s="2"/>
      <c r="N294" s="8">
        <f>SUM(N262:N292)</f>
        <v>260481</v>
      </c>
      <c r="O294" s="2"/>
      <c r="P294" s="8">
        <f>SUM(P262:P292)</f>
        <v>748376</v>
      </c>
    </row>
    <row r="295" spans="1:16" x14ac:dyDescent="0.25">
      <c r="D295" s="2"/>
      <c r="E295" s="2"/>
      <c r="F295" s="2"/>
      <c r="G295" s="2"/>
      <c r="H295" s="2"/>
      <c r="I295" s="2"/>
      <c r="J295" s="2"/>
      <c r="K295" s="2"/>
      <c r="M295" s="2"/>
      <c r="O295" s="2"/>
    </row>
    <row r="296" spans="1:16" x14ac:dyDescent="0.25">
      <c r="A296" t="s">
        <v>184</v>
      </c>
      <c r="B296" t="s">
        <v>185</v>
      </c>
      <c r="C296" t="s">
        <v>186</v>
      </c>
      <c r="D296" s="47">
        <f>ROUNDUP((340609.72),0)</f>
        <v>340610</v>
      </c>
      <c r="E296" s="2"/>
      <c r="F296" s="37">
        <f t="shared" ref="F296:F301" si="72">H296/J296</f>
        <v>0</v>
      </c>
      <c r="G296" s="2"/>
      <c r="H296" s="12">
        <f t="shared" ref="H296:H301" si="73">D296-J296</f>
        <v>0</v>
      </c>
      <c r="I296" s="2"/>
      <c r="J296" s="16">
        <f>ROUNDUP((340609.72),0)</f>
        <v>340610</v>
      </c>
      <c r="K296" s="2"/>
      <c r="L296" s="13">
        <f t="shared" ref="L296:L301" si="74">N296/P296</f>
        <v>1.7879609236552938E-2</v>
      </c>
      <c r="M296" s="2"/>
      <c r="N296" s="12">
        <f t="shared" ref="N296:N301" si="75">J296-P296</f>
        <v>5983</v>
      </c>
      <c r="O296" s="2"/>
      <c r="P296" s="12">
        <v>334627</v>
      </c>
    </row>
    <row r="297" spans="1:16" x14ac:dyDescent="0.25">
      <c r="A297" t="s">
        <v>184</v>
      </c>
      <c r="B297" t="s">
        <v>30</v>
      </c>
      <c r="C297" t="s">
        <v>31</v>
      </c>
      <c r="D297" s="47">
        <f>ROUNDUP((1657.68),0)</f>
        <v>1658</v>
      </c>
      <c r="E297" s="2"/>
      <c r="F297" s="37">
        <f t="shared" si="72"/>
        <v>0</v>
      </c>
      <c r="G297" s="2"/>
      <c r="H297" s="12">
        <f t="shared" si="73"/>
        <v>0</v>
      </c>
      <c r="I297" s="2"/>
      <c r="J297" s="16">
        <f>ROUNDUP((1657.68),0)</f>
        <v>1658</v>
      </c>
      <c r="K297" s="2"/>
      <c r="L297" s="13">
        <f t="shared" si="74"/>
        <v>3.0453697949036667E-2</v>
      </c>
      <c r="M297" s="2"/>
      <c r="N297" s="12">
        <f t="shared" si="75"/>
        <v>49</v>
      </c>
      <c r="O297" s="2"/>
      <c r="P297" s="12">
        <v>1609</v>
      </c>
    </row>
    <row r="298" spans="1:16" x14ac:dyDescent="0.25">
      <c r="A298" t="s">
        <v>184</v>
      </c>
      <c r="B298" t="s">
        <v>34</v>
      </c>
      <c r="C298" t="s">
        <v>35</v>
      </c>
      <c r="D298" s="47">
        <f>ROUNDUP((8.12),0)</f>
        <v>9</v>
      </c>
      <c r="E298" s="2"/>
      <c r="F298" s="37">
        <f t="shared" si="72"/>
        <v>0</v>
      </c>
      <c r="G298" s="2"/>
      <c r="H298" s="12">
        <f t="shared" si="73"/>
        <v>0</v>
      </c>
      <c r="I298" s="2"/>
      <c r="J298" s="16">
        <f>ROUNDUP((8.12),0)</f>
        <v>9</v>
      </c>
      <c r="K298" s="2"/>
      <c r="L298" s="13">
        <f t="shared" si="74"/>
        <v>-0.1</v>
      </c>
      <c r="M298" s="2"/>
      <c r="N298" s="12">
        <f t="shared" si="75"/>
        <v>-1</v>
      </c>
      <c r="O298" s="2"/>
      <c r="P298" s="12">
        <v>10</v>
      </c>
    </row>
    <row r="299" spans="1:16" x14ac:dyDescent="0.25">
      <c r="A299" t="s">
        <v>184</v>
      </c>
      <c r="B299" t="s">
        <v>9</v>
      </c>
      <c r="C299" t="s">
        <v>10</v>
      </c>
      <c r="D299" s="47">
        <f>ROUNDUP((55.45),0)</f>
        <v>56</v>
      </c>
      <c r="E299" s="2"/>
      <c r="F299" s="37">
        <f t="shared" si="72"/>
        <v>0</v>
      </c>
      <c r="G299" s="2"/>
      <c r="H299" s="12">
        <f t="shared" si="73"/>
        <v>0</v>
      </c>
      <c r="I299" s="2"/>
      <c r="J299" s="16">
        <f>ROUNDUP((55.45),0)</f>
        <v>56</v>
      </c>
      <c r="K299" s="2"/>
      <c r="L299" s="13">
        <f t="shared" si="74"/>
        <v>-1.7543859649122806E-2</v>
      </c>
      <c r="M299" s="2"/>
      <c r="N299" s="12">
        <f t="shared" si="75"/>
        <v>-1</v>
      </c>
      <c r="O299" s="2"/>
      <c r="P299" s="12">
        <v>57</v>
      </c>
    </row>
    <row r="300" spans="1:16" x14ac:dyDescent="0.25">
      <c r="A300" t="s">
        <v>184</v>
      </c>
      <c r="B300" s="20" t="s">
        <v>36</v>
      </c>
      <c r="C300" t="s">
        <v>430</v>
      </c>
      <c r="D300" s="47">
        <f>ROUNDUP((169.08),0)</f>
        <v>170</v>
      </c>
      <c r="E300" s="2"/>
      <c r="F300" s="37">
        <f t="shared" si="72"/>
        <v>0</v>
      </c>
      <c r="G300" s="2"/>
      <c r="H300" s="12">
        <f t="shared" si="73"/>
        <v>0</v>
      </c>
      <c r="I300" s="2"/>
      <c r="J300" s="16">
        <f>ROUNDUP((169.08),0)</f>
        <v>170</v>
      </c>
      <c r="K300" s="2"/>
      <c r="L300" s="13">
        <v>1</v>
      </c>
      <c r="M300" s="2"/>
      <c r="N300" s="12">
        <f t="shared" si="75"/>
        <v>170</v>
      </c>
      <c r="O300" s="2"/>
      <c r="P300" s="12">
        <v>0</v>
      </c>
    </row>
    <row r="301" spans="1:16" x14ac:dyDescent="0.25">
      <c r="A301" t="s">
        <v>184</v>
      </c>
      <c r="B301" t="s">
        <v>11</v>
      </c>
      <c r="C301" t="s">
        <v>12</v>
      </c>
      <c r="D301" s="47">
        <f>ROUNDUP((126.81),0)</f>
        <v>127</v>
      </c>
      <c r="E301" s="2"/>
      <c r="F301" s="37">
        <f t="shared" si="72"/>
        <v>0</v>
      </c>
      <c r="G301" s="2"/>
      <c r="H301" s="12">
        <f t="shared" si="73"/>
        <v>0</v>
      </c>
      <c r="I301" s="2"/>
      <c r="J301" s="16">
        <f>ROUNDUP((126.81),0)</f>
        <v>127</v>
      </c>
      <c r="K301" s="2"/>
      <c r="L301" s="13">
        <f t="shared" si="74"/>
        <v>3.2520325203252036E-2</v>
      </c>
      <c r="M301" s="2"/>
      <c r="N301" s="12">
        <f t="shared" si="75"/>
        <v>4</v>
      </c>
      <c r="O301" s="2"/>
      <c r="P301" s="12">
        <v>123</v>
      </c>
    </row>
    <row r="302" spans="1:16" x14ac:dyDescent="0.25">
      <c r="D302" s="2"/>
      <c r="E302" s="2"/>
      <c r="F302" s="2"/>
      <c r="G302" s="2"/>
      <c r="H302" s="2"/>
      <c r="I302" s="2"/>
      <c r="J302" s="2"/>
      <c r="K302" s="2"/>
      <c r="M302" s="2"/>
      <c r="O302" s="2"/>
    </row>
    <row r="303" spans="1:16" x14ac:dyDescent="0.25">
      <c r="A303" t="s">
        <v>5</v>
      </c>
      <c r="B303" t="s">
        <v>5</v>
      </c>
      <c r="C303" s="1" t="s">
        <v>371</v>
      </c>
      <c r="D303" s="8">
        <f>SUM(D296:D301)</f>
        <v>342630</v>
      </c>
      <c r="E303" s="2"/>
      <c r="F303" s="15">
        <f>H303/J303</f>
        <v>0</v>
      </c>
      <c r="G303" s="2"/>
      <c r="H303" s="8">
        <f>SUM(H296:H301)</f>
        <v>0</v>
      </c>
      <c r="I303" s="2"/>
      <c r="J303" s="8">
        <f>SUM(J296:J301)</f>
        <v>342630</v>
      </c>
      <c r="K303" s="2"/>
      <c r="L303" s="15">
        <f>N303/P303</f>
        <v>1.8440905280804692E-2</v>
      </c>
      <c r="M303" s="2"/>
      <c r="N303" s="8">
        <f>SUM(N296:N301)</f>
        <v>6204</v>
      </c>
      <c r="O303" s="2"/>
      <c r="P303" s="8">
        <v>336426</v>
      </c>
    </row>
    <row r="304" spans="1:16" x14ac:dyDescent="0.25">
      <c r="D304" s="2"/>
      <c r="E304" s="2"/>
      <c r="F304" s="2"/>
      <c r="G304" s="2"/>
      <c r="H304" s="2"/>
      <c r="I304" s="2"/>
      <c r="J304" s="2"/>
      <c r="K304" s="2"/>
      <c r="M304" s="2"/>
      <c r="O304" s="2"/>
    </row>
    <row r="305" spans="1:17" x14ac:dyDescent="0.25">
      <c r="A305" t="s">
        <v>187</v>
      </c>
      <c r="B305" t="s">
        <v>30</v>
      </c>
      <c r="C305" t="s">
        <v>31</v>
      </c>
      <c r="D305" s="47">
        <f>ROUNDUP((56778.58),0)</f>
        <v>56779</v>
      </c>
      <c r="E305" s="2"/>
      <c r="F305" s="37">
        <f t="shared" ref="F305:F321" si="76">H305/J305</f>
        <v>0</v>
      </c>
      <c r="G305" s="2"/>
      <c r="H305" s="12">
        <f t="shared" ref="H305:H321" si="77">D305-J305</f>
        <v>0</v>
      </c>
      <c r="I305" s="2"/>
      <c r="J305" s="16">
        <f>ROUNDUP((51289.06+5489.52),0)</f>
        <v>56779</v>
      </c>
      <c r="K305" s="2"/>
      <c r="L305" s="13">
        <f t="shared" ref="L305:L320" si="78">N305/P305</f>
        <v>3.0004535147392292E-2</v>
      </c>
      <c r="M305" s="2"/>
      <c r="N305" s="12">
        <f t="shared" ref="N305:N321" si="79">J305-P305</f>
        <v>1654</v>
      </c>
      <c r="O305" s="2"/>
      <c r="P305" s="12">
        <v>55125</v>
      </c>
      <c r="Q305" t="s">
        <v>355</v>
      </c>
    </row>
    <row r="306" spans="1:17" x14ac:dyDescent="0.25">
      <c r="A306" t="s">
        <v>187</v>
      </c>
      <c r="B306" t="s">
        <v>61</v>
      </c>
      <c r="C306" t="s">
        <v>75</v>
      </c>
      <c r="D306" s="47">
        <v>2160</v>
      </c>
      <c r="E306" s="2"/>
      <c r="F306" s="37">
        <f t="shared" si="76"/>
        <v>0</v>
      </c>
      <c r="G306" s="2"/>
      <c r="H306" s="12">
        <f t="shared" si="77"/>
        <v>0</v>
      </c>
      <c r="I306" s="2"/>
      <c r="J306" s="16">
        <v>2160</v>
      </c>
      <c r="K306" s="2"/>
      <c r="L306" s="13">
        <f t="shared" si="78"/>
        <v>0</v>
      </c>
      <c r="M306" s="2"/>
      <c r="N306" s="12">
        <f t="shared" si="79"/>
        <v>0</v>
      </c>
      <c r="O306" s="2"/>
      <c r="P306" s="12">
        <v>2160</v>
      </c>
    </row>
    <row r="307" spans="1:17" x14ac:dyDescent="0.25">
      <c r="A307" t="s">
        <v>187</v>
      </c>
      <c r="B307" t="s">
        <v>34</v>
      </c>
      <c r="C307" t="s">
        <v>35</v>
      </c>
      <c r="D307" s="47">
        <f>ROUNDUP((85.7),0)</f>
        <v>86</v>
      </c>
      <c r="E307" s="2"/>
      <c r="F307" s="37">
        <f t="shared" si="76"/>
        <v>0</v>
      </c>
      <c r="G307" s="2"/>
      <c r="H307" s="12">
        <f t="shared" si="77"/>
        <v>0</v>
      </c>
      <c r="I307" s="2"/>
      <c r="J307" s="16">
        <f>ROUNDUP((85.7),0)</f>
        <v>86</v>
      </c>
      <c r="K307" s="2"/>
      <c r="L307" s="13">
        <f t="shared" si="78"/>
        <v>-0.23214285714285715</v>
      </c>
      <c r="M307" s="2"/>
      <c r="N307" s="12">
        <f t="shared" si="79"/>
        <v>-26</v>
      </c>
      <c r="O307" s="2"/>
      <c r="P307" s="12">
        <v>112</v>
      </c>
    </row>
    <row r="308" spans="1:17" x14ac:dyDescent="0.25">
      <c r="A308" t="s">
        <v>187</v>
      </c>
      <c r="B308" t="s">
        <v>9</v>
      </c>
      <c r="C308" t="s">
        <v>10</v>
      </c>
      <c r="D308" s="47">
        <f>ROUNDUP((1047.07),0)</f>
        <v>1048</v>
      </c>
      <c r="E308" s="2"/>
      <c r="F308" s="37">
        <f t="shared" si="76"/>
        <v>0</v>
      </c>
      <c r="G308" s="2"/>
      <c r="H308" s="12">
        <f t="shared" si="77"/>
        <v>0</v>
      </c>
      <c r="I308" s="2"/>
      <c r="J308" s="16">
        <f>ROUNDUP((1047.07),0)</f>
        <v>1048</v>
      </c>
      <c r="K308" s="2"/>
      <c r="L308" s="13">
        <f t="shared" si="78"/>
        <v>0.1868629671574179</v>
      </c>
      <c r="M308" s="2"/>
      <c r="N308" s="12">
        <f t="shared" si="79"/>
        <v>165</v>
      </c>
      <c r="O308" s="2"/>
      <c r="P308" s="12">
        <v>883</v>
      </c>
    </row>
    <row r="309" spans="1:17" x14ac:dyDescent="0.25">
      <c r="A309" t="s">
        <v>187</v>
      </c>
      <c r="B309" t="s">
        <v>36</v>
      </c>
      <c r="C309" t="s">
        <v>37</v>
      </c>
      <c r="D309" s="47">
        <f>ROUNDUP((5791.41),0)</f>
        <v>5792</v>
      </c>
      <c r="E309" s="2"/>
      <c r="F309" s="37">
        <f t="shared" si="76"/>
        <v>0</v>
      </c>
      <c r="G309" s="2"/>
      <c r="H309" s="12">
        <f t="shared" si="77"/>
        <v>0</v>
      </c>
      <c r="I309" s="2"/>
      <c r="J309" s="16">
        <f>ROUNDUP((5791.41),0)</f>
        <v>5792</v>
      </c>
      <c r="K309" s="2"/>
      <c r="L309" s="13">
        <f t="shared" si="78"/>
        <v>2.0257178087017789E-2</v>
      </c>
      <c r="M309" s="2"/>
      <c r="N309" s="12">
        <f t="shared" si="79"/>
        <v>115</v>
      </c>
      <c r="O309" s="2"/>
      <c r="P309" s="12">
        <v>5677</v>
      </c>
    </row>
    <row r="310" spans="1:17" x14ac:dyDescent="0.25">
      <c r="A310" t="s">
        <v>187</v>
      </c>
      <c r="B310" t="s">
        <v>38</v>
      </c>
      <c r="C310" t="s">
        <v>39</v>
      </c>
      <c r="D310" s="47">
        <f>ROUNDUP((27269.05),0)</f>
        <v>27270</v>
      </c>
      <c r="E310" s="2"/>
      <c r="F310" s="37">
        <f t="shared" si="76"/>
        <v>0</v>
      </c>
      <c r="G310" s="2"/>
      <c r="H310" s="12">
        <f t="shared" si="77"/>
        <v>0</v>
      </c>
      <c r="I310" s="2"/>
      <c r="J310" s="16">
        <f>ROUNDUP((27269.05),0)</f>
        <v>27270</v>
      </c>
      <c r="K310" s="2"/>
      <c r="L310" s="13">
        <f t="shared" si="78"/>
        <v>9.7295992274263637E-2</v>
      </c>
      <c r="M310" s="2"/>
      <c r="N310" s="12">
        <f t="shared" si="79"/>
        <v>2418</v>
      </c>
      <c r="O310" s="2"/>
      <c r="P310" s="12">
        <v>24852</v>
      </c>
    </row>
    <row r="311" spans="1:17" x14ac:dyDescent="0.25">
      <c r="A311" t="s">
        <v>187</v>
      </c>
      <c r="B311" t="s">
        <v>11</v>
      </c>
      <c r="C311" t="s">
        <v>12</v>
      </c>
      <c r="D311" s="47">
        <f>ROUNDUP((4508.8),0)</f>
        <v>4509</v>
      </c>
      <c r="E311" s="2"/>
      <c r="F311" s="37">
        <f t="shared" si="76"/>
        <v>0</v>
      </c>
      <c r="G311" s="2"/>
      <c r="H311" s="12">
        <f t="shared" si="77"/>
        <v>0</v>
      </c>
      <c r="I311" s="2"/>
      <c r="J311" s="16">
        <f>ROUNDUP((4508.8),0)</f>
        <v>4509</v>
      </c>
      <c r="K311" s="2"/>
      <c r="L311" s="13">
        <f t="shared" si="78"/>
        <v>2.898219990871748E-2</v>
      </c>
      <c r="M311" s="2"/>
      <c r="N311" s="12">
        <f t="shared" si="79"/>
        <v>127</v>
      </c>
      <c r="O311" s="2"/>
      <c r="P311" s="12">
        <v>4382</v>
      </c>
    </row>
    <row r="312" spans="1:17" x14ac:dyDescent="0.25">
      <c r="A312" t="s">
        <v>187</v>
      </c>
      <c r="B312" t="s">
        <v>15</v>
      </c>
      <c r="C312" t="s">
        <v>16</v>
      </c>
      <c r="D312" s="47">
        <v>1000</v>
      </c>
      <c r="E312" s="2"/>
      <c r="F312" s="37">
        <f t="shared" si="76"/>
        <v>0</v>
      </c>
      <c r="G312" s="2"/>
      <c r="H312" s="12">
        <f t="shared" si="77"/>
        <v>0</v>
      </c>
      <c r="I312" s="2"/>
      <c r="J312" s="16">
        <v>1000</v>
      </c>
      <c r="K312" s="2"/>
      <c r="L312" s="13">
        <f t="shared" si="78"/>
        <v>0</v>
      </c>
      <c r="M312" s="2"/>
      <c r="N312" s="12">
        <f t="shared" si="79"/>
        <v>0</v>
      </c>
      <c r="O312" s="2"/>
      <c r="P312" s="12">
        <v>1000</v>
      </c>
    </row>
    <row r="313" spans="1:17" x14ac:dyDescent="0.25">
      <c r="A313" t="s">
        <v>187</v>
      </c>
      <c r="B313" t="s">
        <v>153</v>
      </c>
      <c r="C313" t="s">
        <v>154</v>
      </c>
      <c r="D313" s="47">
        <v>600</v>
      </c>
      <c r="E313" s="2"/>
      <c r="F313" s="37">
        <f t="shared" si="76"/>
        <v>0</v>
      </c>
      <c r="G313" s="2"/>
      <c r="H313" s="12">
        <f t="shared" si="77"/>
        <v>0</v>
      </c>
      <c r="I313" s="2"/>
      <c r="J313" s="16">
        <v>600</v>
      </c>
      <c r="K313" s="2"/>
      <c r="L313" s="13">
        <f t="shared" si="78"/>
        <v>0</v>
      </c>
      <c r="M313" s="2"/>
      <c r="N313" s="12">
        <f t="shared" si="79"/>
        <v>0</v>
      </c>
      <c r="O313" s="2"/>
      <c r="P313" s="12">
        <v>600</v>
      </c>
    </row>
    <row r="314" spans="1:17" x14ac:dyDescent="0.25">
      <c r="A314" t="s">
        <v>187</v>
      </c>
      <c r="B314" t="s">
        <v>40</v>
      </c>
      <c r="C314" t="s">
        <v>41</v>
      </c>
      <c r="D314" s="47">
        <v>720</v>
      </c>
      <c r="E314" s="2"/>
      <c r="F314" s="37">
        <f t="shared" si="76"/>
        <v>0</v>
      </c>
      <c r="G314" s="2"/>
      <c r="H314" s="12">
        <f t="shared" si="77"/>
        <v>0</v>
      </c>
      <c r="I314" s="2"/>
      <c r="J314" s="16">
        <v>720</v>
      </c>
      <c r="K314" s="2"/>
      <c r="L314" s="13">
        <f t="shared" si="78"/>
        <v>0.152</v>
      </c>
      <c r="M314" s="2"/>
      <c r="N314" s="12">
        <f t="shared" si="79"/>
        <v>95</v>
      </c>
      <c r="O314" s="2"/>
      <c r="P314" s="12">
        <v>625</v>
      </c>
    </row>
    <row r="315" spans="1:17" x14ac:dyDescent="0.25">
      <c r="A315" t="s">
        <v>187</v>
      </c>
      <c r="B315" t="s">
        <v>85</v>
      </c>
      <c r="C315" t="s">
        <v>86</v>
      </c>
      <c r="D315" s="47">
        <v>3968</v>
      </c>
      <c r="E315" s="2"/>
      <c r="F315" s="37">
        <f t="shared" si="76"/>
        <v>0</v>
      </c>
      <c r="G315" s="2"/>
      <c r="H315" s="12">
        <f t="shared" si="77"/>
        <v>0</v>
      </c>
      <c r="I315" s="2"/>
      <c r="J315" s="16">
        <v>3968</v>
      </c>
      <c r="K315" s="2"/>
      <c r="L315" s="13">
        <f t="shared" si="78"/>
        <v>0</v>
      </c>
      <c r="M315" s="2"/>
      <c r="N315" s="12">
        <f t="shared" si="79"/>
        <v>0</v>
      </c>
      <c r="O315" s="2"/>
      <c r="P315" s="12">
        <v>3968</v>
      </c>
    </row>
    <row r="316" spans="1:17" x14ac:dyDescent="0.25">
      <c r="A316" t="s">
        <v>187</v>
      </c>
      <c r="B316" t="s">
        <v>159</v>
      </c>
      <c r="C316" t="s">
        <v>160</v>
      </c>
      <c r="D316" s="47">
        <v>700</v>
      </c>
      <c r="E316" s="2"/>
      <c r="F316" s="37">
        <f t="shared" si="76"/>
        <v>0</v>
      </c>
      <c r="G316" s="2"/>
      <c r="H316" s="12">
        <f t="shared" si="77"/>
        <v>0</v>
      </c>
      <c r="I316" s="2"/>
      <c r="J316" s="16">
        <v>700</v>
      </c>
      <c r="K316" s="2"/>
      <c r="L316" s="13">
        <f t="shared" si="78"/>
        <v>0</v>
      </c>
      <c r="M316" s="2"/>
      <c r="N316" s="12">
        <f t="shared" si="79"/>
        <v>0</v>
      </c>
      <c r="O316" s="2"/>
      <c r="P316" s="12">
        <v>700</v>
      </c>
    </row>
    <row r="317" spans="1:17" x14ac:dyDescent="0.25">
      <c r="A317" t="s">
        <v>187</v>
      </c>
      <c r="B317" t="s">
        <v>23</v>
      </c>
      <c r="C317" t="s">
        <v>24</v>
      </c>
      <c r="D317" s="47">
        <v>400</v>
      </c>
      <c r="E317" s="2"/>
      <c r="F317" s="37">
        <f t="shared" si="76"/>
        <v>0</v>
      </c>
      <c r="G317" s="2"/>
      <c r="H317" s="12">
        <f t="shared" si="77"/>
        <v>0</v>
      </c>
      <c r="I317" s="2"/>
      <c r="J317" s="16">
        <v>400</v>
      </c>
      <c r="K317" s="2"/>
      <c r="L317" s="13">
        <f t="shared" si="78"/>
        <v>0</v>
      </c>
      <c r="M317" s="2"/>
      <c r="N317" s="12">
        <f t="shared" si="79"/>
        <v>0</v>
      </c>
      <c r="O317" s="2"/>
      <c r="P317" s="12">
        <v>400</v>
      </c>
    </row>
    <row r="318" spans="1:17" x14ac:dyDescent="0.25">
      <c r="A318" t="s">
        <v>187</v>
      </c>
      <c r="B318" t="s">
        <v>188</v>
      </c>
      <c r="C318" t="s">
        <v>189</v>
      </c>
      <c r="D318" s="47">
        <v>14761</v>
      </c>
      <c r="E318" s="2"/>
      <c r="F318" s="37">
        <f t="shared" si="76"/>
        <v>0</v>
      </c>
      <c r="G318" s="2"/>
      <c r="H318" s="12">
        <f t="shared" si="77"/>
        <v>0</v>
      </c>
      <c r="I318" s="2"/>
      <c r="J318" s="16">
        <v>14761</v>
      </c>
      <c r="K318" s="2"/>
      <c r="L318" s="13">
        <f t="shared" si="78"/>
        <v>4.8292024714153822E-2</v>
      </c>
      <c r="M318" s="2"/>
      <c r="N318" s="12">
        <f t="shared" si="79"/>
        <v>680</v>
      </c>
      <c r="O318" s="2"/>
      <c r="P318" s="12">
        <v>14081</v>
      </c>
    </row>
    <row r="319" spans="1:17" x14ac:dyDescent="0.25">
      <c r="A319" t="s">
        <v>187</v>
      </c>
      <c r="B319" t="s">
        <v>69</v>
      </c>
      <c r="C319" t="s">
        <v>70</v>
      </c>
      <c r="D319" s="47">
        <v>2000</v>
      </c>
      <c r="E319" s="2"/>
      <c r="F319" s="37">
        <f t="shared" si="76"/>
        <v>0</v>
      </c>
      <c r="G319" s="2"/>
      <c r="H319" s="12">
        <f t="shared" si="77"/>
        <v>0</v>
      </c>
      <c r="I319" s="2"/>
      <c r="J319" s="16">
        <v>2000</v>
      </c>
      <c r="K319" s="2"/>
      <c r="L319" s="13">
        <f t="shared" si="78"/>
        <v>1.1052631578947369</v>
      </c>
      <c r="M319" s="2"/>
      <c r="N319" s="12">
        <f t="shared" si="79"/>
        <v>1050</v>
      </c>
      <c r="O319" s="2"/>
      <c r="P319" s="12">
        <v>950</v>
      </c>
    </row>
    <row r="320" spans="1:17" x14ac:dyDescent="0.25">
      <c r="A320" t="s">
        <v>187</v>
      </c>
      <c r="B320" t="s">
        <v>71</v>
      </c>
      <c r="C320" t="s">
        <v>72</v>
      </c>
      <c r="D320" s="47">
        <f>16500-16250</f>
        <v>250</v>
      </c>
      <c r="E320" s="2"/>
      <c r="F320" s="37">
        <f t="shared" si="76"/>
        <v>-0.98484848484848486</v>
      </c>
      <c r="G320" s="2"/>
      <c r="H320" s="12">
        <f t="shared" si="77"/>
        <v>-16250</v>
      </c>
      <c r="I320" s="2"/>
      <c r="J320" s="16">
        <v>16500</v>
      </c>
      <c r="K320" s="2"/>
      <c r="L320" s="13">
        <f t="shared" si="78"/>
        <v>65</v>
      </c>
      <c r="M320" s="2"/>
      <c r="N320" s="12">
        <f t="shared" si="79"/>
        <v>16250</v>
      </c>
      <c r="O320" s="2"/>
      <c r="P320" s="12">
        <v>250</v>
      </c>
    </row>
    <row r="321" spans="1:16" x14ac:dyDescent="0.25">
      <c r="A321" t="s">
        <v>187</v>
      </c>
      <c r="B321" s="20" t="s">
        <v>165</v>
      </c>
      <c r="C321" t="s">
        <v>374</v>
      </c>
      <c r="D321" s="47">
        <v>0</v>
      </c>
      <c r="E321" s="2"/>
      <c r="F321" s="37">
        <f t="shared" si="76"/>
        <v>-1</v>
      </c>
      <c r="G321" s="2"/>
      <c r="H321" s="12">
        <f t="shared" si="77"/>
        <v>-45500</v>
      </c>
      <c r="I321" s="2"/>
      <c r="J321" s="16">
        <v>45500</v>
      </c>
      <c r="K321" s="2"/>
      <c r="L321" s="13">
        <v>1</v>
      </c>
      <c r="M321" s="2"/>
      <c r="N321" s="12">
        <f t="shared" si="79"/>
        <v>45500</v>
      </c>
      <c r="O321" s="2"/>
      <c r="P321" s="12">
        <v>0</v>
      </c>
    </row>
    <row r="322" spans="1:16" x14ac:dyDescent="0.25">
      <c r="D322" s="2"/>
      <c r="E322" s="2"/>
      <c r="F322" s="2"/>
      <c r="G322" s="2"/>
      <c r="H322" s="2"/>
      <c r="I322" s="2"/>
      <c r="J322" s="2"/>
      <c r="K322" s="2"/>
      <c r="M322" s="2"/>
      <c r="O322" s="2"/>
    </row>
    <row r="323" spans="1:16" x14ac:dyDescent="0.25">
      <c r="A323" t="s">
        <v>5</v>
      </c>
      <c r="B323" t="s">
        <v>5</v>
      </c>
      <c r="C323" s="1" t="s">
        <v>372</v>
      </c>
      <c r="D323" s="8">
        <f>SUM(D305:D321)</f>
        <v>122043</v>
      </c>
      <c r="E323" s="2"/>
      <c r="F323" s="41">
        <f>H323/J323</f>
        <v>-0.3359757988606748</v>
      </c>
      <c r="G323" s="2"/>
      <c r="H323" s="8">
        <f>SUM(H305:H321)</f>
        <v>-61750</v>
      </c>
      <c r="I323" s="2"/>
      <c r="J323" s="8">
        <f>SUM(J305:J321)</f>
        <v>183793</v>
      </c>
      <c r="K323" s="2"/>
      <c r="L323" s="15">
        <f>N323/P323</f>
        <v>0.5876387509178076</v>
      </c>
      <c r="M323" s="2"/>
      <c r="N323" s="8">
        <f>SUM(N305:N321)</f>
        <v>68028</v>
      </c>
      <c r="O323" s="2"/>
      <c r="P323" s="8">
        <f>SUM(P305:P321)</f>
        <v>115765</v>
      </c>
    </row>
    <row r="324" spans="1:16" x14ac:dyDescent="0.25">
      <c r="D324" s="2"/>
      <c r="E324" s="2"/>
      <c r="F324" s="2"/>
      <c r="G324" s="2"/>
      <c r="H324" s="2"/>
      <c r="I324" s="2"/>
      <c r="J324" s="2"/>
      <c r="K324" s="2"/>
      <c r="M324" s="2"/>
      <c r="O324" s="2"/>
    </row>
    <row r="325" spans="1:16" x14ac:dyDescent="0.25">
      <c r="A325" t="s">
        <v>190</v>
      </c>
      <c r="B325" t="s">
        <v>30</v>
      </c>
      <c r="C325" t="s">
        <v>31</v>
      </c>
      <c r="D325" s="47">
        <f>ROUNDUP((199285.86),0)</f>
        <v>199286</v>
      </c>
      <c r="E325" s="2"/>
      <c r="F325" s="37">
        <f t="shared" ref="F325:F341" si="80">H325/J325</f>
        <v>0</v>
      </c>
      <c r="G325" s="2"/>
      <c r="H325" s="12">
        <f t="shared" ref="H325:H341" si="81">D325-J325</f>
        <v>0</v>
      </c>
      <c r="I325" s="2"/>
      <c r="J325" s="16">
        <f>ROUNDUP((199285.86),0)</f>
        <v>199286</v>
      </c>
      <c r="K325" s="2"/>
      <c r="L325" s="13">
        <f t="shared" ref="L325:L341" si="82">N325/P325</f>
        <v>1.9454377106960706E-2</v>
      </c>
      <c r="M325" s="2"/>
      <c r="N325" s="12">
        <f t="shared" ref="N325:N341" si="83">J325-P325</f>
        <v>3803</v>
      </c>
      <c r="O325" s="2"/>
      <c r="P325" s="12">
        <v>195483</v>
      </c>
    </row>
    <row r="326" spans="1:16" x14ac:dyDescent="0.25">
      <c r="A326" t="s">
        <v>190</v>
      </c>
      <c r="B326" t="s">
        <v>141</v>
      </c>
      <c r="C326" t="s">
        <v>142</v>
      </c>
      <c r="D326" s="47">
        <v>3500</v>
      </c>
      <c r="E326" s="2"/>
      <c r="F326" s="37">
        <f t="shared" si="80"/>
        <v>0</v>
      </c>
      <c r="G326" s="2"/>
      <c r="H326" s="12">
        <f t="shared" si="81"/>
        <v>0</v>
      </c>
      <c r="I326" s="2"/>
      <c r="J326" s="16">
        <v>3500</v>
      </c>
      <c r="K326" s="2"/>
      <c r="L326" s="13">
        <f t="shared" si="82"/>
        <v>0</v>
      </c>
      <c r="M326" s="2"/>
      <c r="N326" s="12">
        <f t="shared" si="83"/>
        <v>0</v>
      </c>
      <c r="O326" s="2"/>
      <c r="P326" s="12">
        <v>3500</v>
      </c>
    </row>
    <row r="327" spans="1:16" x14ac:dyDescent="0.25">
      <c r="A327" t="s">
        <v>190</v>
      </c>
      <c r="B327" t="s">
        <v>59</v>
      </c>
      <c r="C327" t="s">
        <v>60</v>
      </c>
      <c r="D327" s="47">
        <v>21630</v>
      </c>
      <c r="E327" s="2"/>
      <c r="F327" s="37">
        <f t="shared" si="80"/>
        <v>0</v>
      </c>
      <c r="G327" s="2"/>
      <c r="H327" s="12">
        <f t="shared" si="81"/>
        <v>0</v>
      </c>
      <c r="I327" s="2"/>
      <c r="J327" s="16">
        <v>21630</v>
      </c>
      <c r="K327" s="2"/>
      <c r="L327" s="13">
        <f t="shared" si="82"/>
        <v>0</v>
      </c>
      <c r="M327" s="2"/>
      <c r="N327" s="12">
        <f t="shared" si="83"/>
        <v>0</v>
      </c>
      <c r="O327" s="2"/>
      <c r="P327" s="12">
        <v>21630</v>
      </c>
    </row>
    <row r="328" spans="1:16" x14ac:dyDescent="0.25">
      <c r="A328" t="s">
        <v>190</v>
      </c>
      <c r="B328" t="s">
        <v>61</v>
      </c>
      <c r="C328" t="s">
        <v>62</v>
      </c>
      <c r="D328" s="47">
        <v>1350</v>
      </c>
      <c r="E328" s="2"/>
      <c r="F328" s="37">
        <f t="shared" si="80"/>
        <v>0</v>
      </c>
      <c r="G328" s="2"/>
      <c r="H328" s="12">
        <f t="shared" si="81"/>
        <v>0</v>
      </c>
      <c r="I328" s="2"/>
      <c r="J328" s="16">
        <v>1350</v>
      </c>
      <c r="K328" s="2"/>
      <c r="L328" s="13">
        <f t="shared" si="82"/>
        <v>0</v>
      </c>
      <c r="M328" s="2"/>
      <c r="N328" s="12">
        <f t="shared" si="83"/>
        <v>0</v>
      </c>
      <c r="O328" s="2"/>
      <c r="P328" s="12">
        <v>1350</v>
      </c>
    </row>
    <row r="329" spans="1:16" x14ac:dyDescent="0.25">
      <c r="A329" t="s">
        <v>190</v>
      </c>
      <c r="B329" t="s">
        <v>147</v>
      </c>
      <c r="C329" t="s">
        <v>148</v>
      </c>
      <c r="D329" s="47">
        <v>62325</v>
      </c>
      <c r="E329" s="2"/>
      <c r="F329" s="37">
        <f t="shared" si="80"/>
        <v>0</v>
      </c>
      <c r="G329" s="2"/>
      <c r="H329" s="12">
        <f t="shared" si="81"/>
        <v>0</v>
      </c>
      <c r="I329" s="2"/>
      <c r="J329" s="16">
        <v>62325</v>
      </c>
      <c r="K329" s="2"/>
      <c r="L329" s="13">
        <f t="shared" si="82"/>
        <v>0.21019417475728155</v>
      </c>
      <c r="M329" s="2"/>
      <c r="N329" s="12">
        <f t="shared" si="83"/>
        <v>10825</v>
      </c>
      <c r="O329" s="2"/>
      <c r="P329" s="12">
        <v>51500</v>
      </c>
    </row>
    <row r="330" spans="1:16" x14ac:dyDescent="0.25">
      <c r="A330" t="s">
        <v>190</v>
      </c>
      <c r="B330" t="s">
        <v>34</v>
      </c>
      <c r="C330" t="s">
        <v>35</v>
      </c>
      <c r="D330" s="47">
        <f>ROUNDUP((359.42),0)</f>
        <v>360</v>
      </c>
      <c r="E330" s="2"/>
      <c r="F330" s="37">
        <f t="shared" si="80"/>
        <v>0</v>
      </c>
      <c r="G330" s="2"/>
      <c r="H330" s="12">
        <f t="shared" si="81"/>
        <v>0</v>
      </c>
      <c r="I330" s="2"/>
      <c r="J330" s="16">
        <f>ROUNDUP((359.42),0)</f>
        <v>360</v>
      </c>
      <c r="K330" s="2"/>
      <c r="L330" s="13">
        <f t="shared" si="82"/>
        <v>0.20805369127516779</v>
      </c>
      <c r="M330" s="2"/>
      <c r="N330" s="12">
        <f t="shared" si="83"/>
        <v>62</v>
      </c>
      <c r="O330" s="2"/>
      <c r="P330" s="12">
        <v>298</v>
      </c>
    </row>
    <row r="331" spans="1:16" x14ac:dyDescent="0.25">
      <c r="A331" t="s">
        <v>190</v>
      </c>
      <c r="B331" t="s">
        <v>9</v>
      </c>
      <c r="C331" t="s">
        <v>10</v>
      </c>
      <c r="D331" s="47">
        <f>ROUNDUP((1317.37),0)</f>
        <v>1318</v>
      </c>
      <c r="E331" s="2"/>
      <c r="F331" s="37">
        <f t="shared" si="80"/>
        <v>0</v>
      </c>
      <c r="G331" s="2"/>
      <c r="H331" s="12">
        <f t="shared" si="81"/>
        <v>0</v>
      </c>
      <c r="I331" s="2"/>
      <c r="J331" s="16">
        <f>ROUNDUP((1317.37),0)</f>
        <v>1318</v>
      </c>
      <c r="K331" s="2"/>
      <c r="L331" s="13">
        <f t="shared" si="82"/>
        <v>0.71391417425227566</v>
      </c>
      <c r="M331" s="2"/>
      <c r="N331" s="12">
        <f t="shared" si="83"/>
        <v>549</v>
      </c>
      <c r="O331" s="2"/>
      <c r="P331" s="12">
        <v>769</v>
      </c>
    </row>
    <row r="332" spans="1:16" x14ac:dyDescent="0.25">
      <c r="A332" t="s">
        <v>190</v>
      </c>
      <c r="B332" t="s">
        <v>36</v>
      </c>
      <c r="C332" t="s">
        <v>37</v>
      </c>
      <c r="D332" s="47">
        <f>ROUNDUP((33274.99),0)</f>
        <v>33275</v>
      </c>
      <c r="E332" s="2"/>
      <c r="F332" s="37">
        <f t="shared" si="80"/>
        <v>0</v>
      </c>
      <c r="G332" s="2"/>
      <c r="H332" s="12">
        <f t="shared" si="81"/>
        <v>0</v>
      </c>
      <c r="I332" s="2"/>
      <c r="J332" s="16">
        <f>ROUNDUP((33274.99),0)</f>
        <v>33275</v>
      </c>
      <c r="K332" s="2"/>
      <c r="L332" s="13">
        <f t="shared" si="82"/>
        <v>1.2167300380228136E-2</v>
      </c>
      <c r="M332" s="2"/>
      <c r="N332" s="12">
        <f t="shared" si="83"/>
        <v>400</v>
      </c>
      <c r="O332" s="2"/>
      <c r="P332" s="12">
        <v>32875</v>
      </c>
    </row>
    <row r="333" spans="1:16" x14ac:dyDescent="0.25">
      <c r="A333" t="s">
        <v>190</v>
      </c>
      <c r="B333" t="s">
        <v>38</v>
      </c>
      <c r="C333" t="s">
        <v>39</v>
      </c>
      <c r="D333" s="47">
        <f>ROUNDUP((29344.36),0)</f>
        <v>29345</v>
      </c>
      <c r="E333" s="2"/>
      <c r="F333" s="37">
        <f t="shared" si="80"/>
        <v>0</v>
      </c>
      <c r="G333" s="2"/>
      <c r="H333" s="12">
        <f t="shared" si="81"/>
        <v>0</v>
      </c>
      <c r="I333" s="2"/>
      <c r="J333" s="16">
        <f>ROUNDUP((29344.36),0)</f>
        <v>29345</v>
      </c>
      <c r="K333" s="2"/>
      <c r="L333" s="13">
        <f t="shared" si="82"/>
        <v>-0.26804020852560423</v>
      </c>
      <c r="M333" s="2"/>
      <c r="N333" s="12">
        <f t="shared" si="83"/>
        <v>-10746</v>
      </c>
      <c r="O333" s="2"/>
      <c r="P333" s="12">
        <v>40091</v>
      </c>
    </row>
    <row r="334" spans="1:16" x14ac:dyDescent="0.25">
      <c r="A334" t="s">
        <v>190</v>
      </c>
      <c r="B334" t="s">
        <v>11</v>
      </c>
      <c r="C334" t="s">
        <v>12</v>
      </c>
      <c r="D334" s="47">
        <f>ROUNDUP((22038.95),0)</f>
        <v>22039</v>
      </c>
      <c r="E334" s="2"/>
      <c r="F334" s="37">
        <f t="shared" si="80"/>
        <v>0</v>
      </c>
      <c r="G334" s="2"/>
      <c r="H334" s="12">
        <f t="shared" si="81"/>
        <v>0</v>
      </c>
      <c r="I334" s="2"/>
      <c r="J334" s="16">
        <f>ROUNDUP((22038.95),0)</f>
        <v>22039</v>
      </c>
      <c r="K334" s="2"/>
      <c r="L334" s="13">
        <f t="shared" si="82"/>
        <v>6.520057999033349E-2</v>
      </c>
      <c r="M334" s="2"/>
      <c r="N334" s="12">
        <f t="shared" si="83"/>
        <v>1349</v>
      </c>
      <c r="O334" s="2"/>
      <c r="P334" s="12">
        <v>20690</v>
      </c>
    </row>
    <row r="335" spans="1:16" x14ac:dyDescent="0.25">
      <c r="A335" t="s">
        <v>190</v>
      </c>
      <c r="B335" t="s">
        <v>13</v>
      </c>
      <c r="C335" t="s">
        <v>14</v>
      </c>
      <c r="D335" s="47">
        <v>1000</v>
      </c>
      <c r="E335" s="2"/>
      <c r="F335" s="37">
        <f t="shared" si="80"/>
        <v>0</v>
      </c>
      <c r="G335" s="2"/>
      <c r="H335" s="12">
        <f t="shared" si="81"/>
        <v>0</v>
      </c>
      <c r="I335" s="2"/>
      <c r="J335" s="16">
        <v>1000</v>
      </c>
      <c r="K335" s="2"/>
      <c r="L335" s="13">
        <f t="shared" si="82"/>
        <v>0</v>
      </c>
      <c r="M335" s="2"/>
      <c r="N335" s="12">
        <f t="shared" si="83"/>
        <v>0</v>
      </c>
      <c r="O335" s="2"/>
      <c r="P335" s="12">
        <v>1000</v>
      </c>
    </row>
    <row r="336" spans="1:16" x14ac:dyDescent="0.25">
      <c r="A336" t="s">
        <v>190</v>
      </c>
      <c r="B336" t="s">
        <v>21</v>
      </c>
      <c r="C336" t="s">
        <v>22</v>
      </c>
      <c r="D336" s="47">
        <v>120</v>
      </c>
      <c r="E336" s="2"/>
      <c r="F336" s="37">
        <f t="shared" si="80"/>
        <v>0</v>
      </c>
      <c r="G336" s="2"/>
      <c r="H336" s="12">
        <f t="shared" si="81"/>
        <v>0</v>
      </c>
      <c r="I336" s="2"/>
      <c r="J336" s="16">
        <v>120</v>
      </c>
      <c r="K336" s="2"/>
      <c r="L336" s="13">
        <f t="shared" si="82"/>
        <v>0</v>
      </c>
      <c r="M336" s="2"/>
      <c r="N336" s="12">
        <f t="shared" si="83"/>
        <v>0</v>
      </c>
      <c r="O336" s="2"/>
      <c r="P336" s="12">
        <v>120</v>
      </c>
    </row>
    <row r="337" spans="1:16" x14ac:dyDescent="0.25">
      <c r="A337" t="s">
        <v>190</v>
      </c>
      <c r="B337" t="s">
        <v>151</v>
      </c>
      <c r="C337" t="s">
        <v>152</v>
      </c>
      <c r="D337" s="47">
        <v>300</v>
      </c>
      <c r="E337" s="2"/>
      <c r="F337" s="37">
        <f t="shared" si="80"/>
        <v>0</v>
      </c>
      <c r="G337" s="2"/>
      <c r="H337" s="12">
        <f t="shared" si="81"/>
        <v>0</v>
      </c>
      <c r="I337" s="2"/>
      <c r="J337" s="16">
        <v>300</v>
      </c>
      <c r="K337" s="2"/>
      <c r="L337" s="13">
        <f t="shared" si="82"/>
        <v>0</v>
      </c>
      <c r="M337" s="2"/>
      <c r="N337" s="12">
        <f t="shared" si="83"/>
        <v>0</v>
      </c>
      <c r="O337" s="2"/>
      <c r="P337" s="12">
        <v>300</v>
      </c>
    </row>
    <row r="338" spans="1:16" x14ac:dyDescent="0.25">
      <c r="A338" t="s">
        <v>190</v>
      </c>
      <c r="B338" t="s">
        <v>153</v>
      </c>
      <c r="C338" t="s">
        <v>154</v>
      </c>
      <c r="D338" s="47">
        <v>2250</v>
      </c>
      <c r="E338" s="2"/>
      <c r="F338" s="37">
        <f t="shared" si="80"/>
        <v>0</v>
      </c>
      <c r="G338" s="2"/>
      <c r="H338" s="12">
        <f t="shared" si="81"/>
        <v>0</v>
      </c>
      <c r="I338" s="2"/>
      <c r="J338" s="16">
        <v>2250</v>
      </c>
      <c r="K338" s="2"/>
      <c r="L338" s="13">
        <f t="shared" si="82"/>
        <v>0</v>
      </c>
      <c r="M338" s="2"/>
      <c r="N338" s="12">
        <f t="shared" si="83"/>
        <v>0</v>
      </c>
      <c r="O338" s="2"/>
      <c r="P338" s="12">
        <v>2250</v>
      </c>
    </row>
    <row r="339" spans="1:16" x14ac:dyDescent="0.25">
      <c r="A339" t="s">
        <v>190</v>
      </c>
      <c r="B339" t="s">
        <v>23</v>
      </c>
      <c r="C339" t="s">
        <v>24</v>
      </c>
      <c r="D339" s="47">
        <v>1450</v>
      </c>
      <c r="E339" s="2"/>
      <c r="F339" s="37">
        <f t="shared" si="80"/>
        <v>0</v>
      </c>
      <c r="G339" s="2"/>
      <c r="H339" s="12">
        <f t="shared" si="81"/>
        <v>0</v>
      </c>
      <c r="I339" s="2"/>
      <c r="J339" s="16">
        <v>1450</v>
      </c>
      <c r="K339" s="2"/>
      <c r="L339" s="13">
        <f t="shared" si="82"/>
        <v>0</v>
      </c>
      <c r="M339" s="2"/>
      <c r="N339" s="12">
        <f t="shared" si="83"/>
        <v>0</v>
      </c>
      <c r="O339" s="2"/>
      <c r="P339" s="12">
        <v>1450</v>
      </c>
    </row>
    <row r="340" spans="1:16" x14ac:dyDescent="0.25">
      <c r="A340" t="s">
        <v>190</v>
      </c>
      <c r="B340" t="s">
        <v>123</v>
      </c>
      <c r="C340" t="s">
        <v>124</v>
      </c>
      <c r="D340" s="47">
        <v>1900</v>
      </c>
      <c r="E340" s="2"/>
      <c r="F340" s="37">
        <f t="shared" si="80"/>
        <v>0</v>
      </c>
      <c r="G340" s="2"/>
      <c r="H340" s="12">
        <f t="shared" si="81"/>
        <v>0</v>
      </c>
      <c r="I340" s="2"/>
      <c r="J340" s="16">
        <v>1900</v>
      </c>
      <c r="K340" s="2"/>
      <c r="L340" s="13">
        <f t="shared" si="82"/>
        <v>0</v>
      </c>
      <c r="M340" s="2"/>
      <c r="N340" s="12">
        <f t="shared" si="83"/>
        <v>0</v>
      </c>
      <c r="O340" s="2"/>
      <c r="P340" s="12">
        <v>1900</v>
      </c>
    </row>
    <row r="341" spans="1:16" x14ac:dyDescent="0.25">
      <c r="A341" t="s">
        <v>190</v>
      </c>
      <c r="B341" t="s">
        <v>69</v>
      </c>
      <c r="C341" t="s">
        <v>70</v>
      </c>
      <c r="D341" s="47">
        <v>1125</v>
      </c>
      <c r="E341" s="2"/>
      <c r="F341" s="37">
        <f t="shared" si="80"/>
        <v>0</v>
      </c>
      <c r="G341" s="2"/>
      <c r="H341" s="12">
        <f t="shared" si="81"/>
        <v>0</v>
      </c>
      <c r="I341" s="2"/>
      <c r="J341" s="16">
        <v>1125</v>
      </c>
      <c r="K341" s="2"/>
      <c r="L341" s="13">
        <f t="shared" si="82"/>
        <v>0</v>
      </c>
      <c r="M341" s="2"/>
      <c r="N341" s="12">
        <f t="shared" si="83"/>
        <v>0</v>
      </c>
      <c r="O341" s="2"/>
      <c r="P341" s="12">
        <v>1125</v>
      </c>
    </row>
    <row r="342" spans="1:16" x14ac:dyDescent="0.25">
      <c r="D342" s="2"/>
      <c r="E342" s="2"/>
      <c r="F342" s="2"/>
      <c r="G342" s="2"/>
      <c r="H342" s="2"/>
      <c r="I342" s="2"/>
      <c r="J342" s="25"/>
      <c r="K342" s="2"/>
      <c r="M342" s="2"/>
      <c r="O342" s="2"/>
    </row>
    <row r="343" spans="1:16" x14ac:dyDescent="0.25">
      <c r="A343" t="s">
        <v>5</v>
      </c>
      <c r="B343" t="s">
        <v>5</v>
      </c>
      <c r="C343" s="1" t="s">
        <v>373</v>
      </c>
      <c r="D343" s="8">
        <f>SUM(D325:D341)</f>
        <v>382573</v>
      </c>
      <c r="E343" s="2"/>
      <c r="F343" s="15">
        <f>H343/J343</f>
        <v>0</v>
      </c>
      <c r="G343" s="2"/>
      <c r="H343" s="8">
        <f>SUM(H325:H341)</f>
        <v>0</v>
      </c>
      <c r="I343" s="2"/>
      <c r="J343" s="8">
        <f>SUM(J325:J341)</f>
        <v>382573</v>
      </c>
      <c r="K343" s="2"/>
      <c r="L343" s="15">
        <f>N343/P343</f>
        <v>1.6586462449280023E-2</v>
      </c>
      <c r="M343" s="2"/>
      <c r="N343" s="8">
        <f>SUM(N325:N341)</f>
        <v>6242</v>
      </c>
      <c r="O343" s="2"/>
      <c r="P343" s="8">
        <f>SUM(P325:P341)</f>
        <v>376331</v>
      </c>
    </row>
    <row r="344" spans="1:16" x14ac:dyDescent="0.25">
      <c r="D344" s="2"/>
      <c r="E344" s="2"/>
      <c r="F344" s="2"/>
      <c r="G344" s="2"/>
      <c r="H344" s="2"/>
      <c r="I344" s="2"/>
      <c r="J344" s="2"/>
      <c r="K344" s="2"/>
      <c r="M344" s="2"/>
      <c r="O344" s="2"/>
    </row>
    <row r="345" spans="1:16" x14ac:dyDescent="0.25">
      <c r="A345" t="s">
        <v>191</v>
      </c>
      <c r="B345" t="s">
        <v>3</v>
      </c>
      <c r="C345" t="s">
        <v>4</v>
      </c>
      <c r="D345" s="12">
        <v>2500</v>
      </c>
      <c r="E345" s="2"/>
      <c r="F345" s="37">
        <f t="shared" ref="F345:F393" si="84">H345/J345</f>
        <v>0</v>
      </c>
      <c r="G345" s="2"/>
      <c r="H345" s="12">
        <f t="shared" ref="H345:H393" si="85">D345-J345</f>
        <v>0</v>
      </c>
      <c r="I345" s="2"/>
      <c r="J345" s="12">
        <v>2500</v>
      </c>
      <c r="K345" s="2"/>
      <c r="L345" s="13">
        <f t="shared" ref="L345:L393" si="86">N345/P345</f>
        <v>0</v>
      </c>
      <c r="M345" s="2"/>
      <c r="N345" s="12">
        <f t="shared" ref="N345:N393" si="87">J345-P345</f>
        <v>0</v>
      </c>
      <c r="O345" s="2"/>
      <c r="P345" s="12">
        <v>2500</v>
      </c>
    </row>
    <row r="346" spans="1:16" x14ac:dyDescent="0.25">
      <c r="A346" t="s">
        <v>191</v>
      </c>
      <c r="B346" t="s">
        <v>57</v>
      </c>
      <c r="C346" t="s">
        <v>58</v>
      </c>
      <c r="D346" s="12">
        <f>ROUNDUP((92723.07),0)</f>
        <v>92724</v>
      </c>
      <c r="E346" s="2"/>
      <c r="F346" s="37">
        <f t="shared" si="84"/>
        <v>-2.8335499014964162E-2</v>
      </c>
      <c r="G346" s="2"/>
      <c r="H346" s="12">
        <f t="shared" si="85"/>
        <v>-2704</v>
      </c>
      <c r="I346" s="2"/>
      <c r="J346" s="12">
        <f>ROUNDUP((95427.07),0)</f>
        <v>95428</v>
      </c>
      <c r="K346" s="2"/>
      <c r="L346" s="13">
        <f t="shared" si="86"/>
        <v>6.0016662038322691E-2</v>
      </c>
      <c r="M346" s="2"/>
      <c r="N346" s="12">
        <f t="shared" si="87"/>
        <v>5403</v>
      </c>
      <c r="O346" s="2"/>
      <c r="P346" s="12">
        <v>90025</v>
      </c>
    </row>
    <row r="347" spans="1:16" x14ac:dyDescent="0.25">
      <c r="A347" t="s">
        <v>191</v>
      </c>
      <c r="B347" t="s">
        <v>30</v>
      </c>
      <c r="C347" t="s">
        <v>31</v>
      </c>
      <c r="D347" s="12">
        <f>ROUNDUP((456560.21),0)</f>
        <v>456561</v>
      </c>
      <c r="E347" s="2"/>
      <c r="F347" s="37">
        <f t="shared" si="84"/>
        <v>2.8906957771998538E-2</v>
      </c>
      <c r="G347" s="2"/>
      <c r="H347" s="12">
        <f t="shared" si="85"/>
        <v>12827</v>
      </c>
      <c r="I347" s="2"/>
      <c r="J347" s="12">
        <f>ROUNDUP((443733.06),0)</f>
        <v>443734</v>
      </c>
      <c r="K347" s="2"/>
      <c r="L347" s="13">
        <f t="shared" si="86"/>
        <v>2.7100220820043239E-2</v>
      </c>
      <c r="M347" s="2"/>
      <c r="N347" s="12">
        <f t="shared" si="87"/>
        <v>11708</v>
      </c>
      <c r="O347" s="2"/>
      <c r="P347" s="12">
        <v>432026</v>
      </c>
    </row>
    <row r="348" spans="1:16" x14ac:dyDescent="0.25">
      <c r="A348" t="s">
        <v>191</v>
      </c>
      <c r="B348" t="s">
        <v>32</v>
      </c>
      <c r="C348" t="s">
        <v>33</v>
      </c>
      <c r="D348" s="12">
        <f>ROUNDUP((41926.77),0)</f>
        <v>41927</v>
      </c>
      <c r="E348" s="2"/>
      <c r="F348" s="37">
        <f t="shared" si="84"/>
        <v>0</v>
      </c>
      <c r="G348" s="2"/>
      <c r="H348" s="12">
        <f t="shared" si="85"/>
        <v>0</v>
      </c>
      <c r="I348" s="2"/>
      <c r="J348" s="12">
        <f>ROUNDUP((41926.77),0)</f>
        <v>41927</v>
      </c>
      <c r="K348" s="2"/>
      <c r="L348" s="13">
        <f t="shared" si="86"/>
        <v>0.1182919022724848</v>
      </c>
      <c r="M348" s="2"/>
      <c r="N348" s="12">
        <f t="shared" si="87"/>
        <v>4435</v>
      </c>
      <c r="O348" s="2"/>
      <c r="P348" s="12">
        <v>37492</v>
      </c>
    </row>
    <row r="349" spans="1:16" x14ac:dyDescent="0.25">
      <c r="A349" t="s">
        <v>191</v>
      </c>
      <c r="B349" t="s">
        <v>141</v>
      </c>
      <c r="C349" t="s">
        <v>142</v>
      </c>
      <c r="D349" s="12">
        <v>25500</v>
      </c>
      <c r="E349" s="2"/>
      <c r="F349" s="37">
        <f t="shared" si="84"/>
        <v>0</v>
      </c>
      <c r="G349" s="2"/>
      <c r="H349" s="12">
        <f t="shared" si="85"/>
        <v>0</v>
      </c>
      <c r="I349" s="2"/>
      <c r="J349" s="12">
        <v>25500</v>
      </c>
      <c r="K349" s="2"/>
      <c r="L349" s="13">
        <f t="shared" si="86"/>
        <v>0</v>
      </c>
      <c r="M349" s="2"/>
      <c r="N349" s="12">
        <f t="shared" si="87"/>
        <v>0</v>
      </c>
      <c r="O349" s="2"/>
      <c r="P349" s="12">
        <v>25500</v>
      </c>
    </row>
    <row r="350" spans="1:16" x14ac:dyDescent="0.25">
      <c r="A350" t="s">
        <v>191</v>
      </c>
      <c r="B350" t="s">
        <v>61</v>
      </c>
      <c r="C350" t="s">
        <v>62</v>
      </c>
      <c r="D350" s="12">
        <v>40000</v>
      </c>
      <c r="E350" s="2"/>
      <c r="F350" s="37">
        <f t="shared" si="84"/>
        <v>0</v>
      </c>
      <c r="G350" s="2"/>
      <c r="H350" s="12">
        <f t="shared" si="85"/>
        <v>0</v>
      </c>
      <c r="I350" s="2"/>
      <c r="J350" s="12">
        <v>40000</v>
      </c>
      <c r="K350" s="2"/>
      <c r="L350" s="13">
        <f t="shared" si="86"/>
        <v>0</v>
      </c>
      <c r="M350" s="2"/>
      <c r="N350" s="12">
        <f t="shared" si="87"/>
        <v>0</v>
      </c>
      <c r="O350" s="2"/>
      <c r="P350" s="12">
        <v>40000</v>
      </c>
    </row>
    <row r="351" spans="1:16" x14ac:dyDescent="0.25">
      <c r="A351" t="s">
        <v>191</v>
      </c>
      <c r="B351" t="s">
        <v>34</v>
      </c>
      <c r="C351" t="s">
        <v>35</v>
      </c>
      <c r="D351" s="12">
        <f>ROUNDUP((705.6),0)</f>
        <v>706</v>
      </c>
      <c r="E351" s="2"/>
      <c r="F351" s="37">
        <f t="shared" si="84"/>
        <v>0</v>
      </c>
      <c r="G351" s="2"/>
      <c r="H351" s="12">
        <f t="shared" si="85"/>
        <v>0</v>
      </c>
      <c r="I351" s="2"/>
      <c r="J351" s="12">
        <f>ROUNDUP((705.6),0)</f>
        <v>706</v>
      </c>
      <c r="K351" s="2"/>
      <c r="L351" s="13">
        <f t="shared" si="86"/>
        <v>-0.13902439024390245</v>
      </c>
      <c r="M351" s="2"/>
      <c r="N351" s="12">
        <f t="shared" si="87"/>
        <v>-114</v>
      </c>
      <c r="O351" s="2"/>
      <c r="P351" s="12">
        <v>820</v>
      </c>
    </row>
    <row r="352" spans="1:16" x14ac:dyDescent="0.25">
      <c r="A352" t="s">
        <v>191</v>
      </c>
      <c r="B352" t="s">
        <v>9</v>
      </c>
      <c r="C352" t="s">
        <v>10</v>
      </c>
      <c r="D352" s="12">
        <f>ROUNDUP((47675.88),0)</f>
        <v>47676</v>
      </c>
      <c r="E352" s="2"/>
      <c r="F352" s="37">
        <f t="shared" si="84"/>
        <v>1.6394141599334854E-2</v>
      </c>
      <c r="G352" s="2"/>
      <c r="H352" s="12">
        <f t="shared" si="85"/>
        <v>769</v>
      </c>
      <c r="I352" s="2"/>
      <c r="J352" s="12">
        <f>ROUNDUP((46906.07),0)</f>
        <v>46907</v>
      </c>
      <c r="K352" s="2"/>
      <c r="L352" s="13">
        <f t="shared" si="86"/>
        <v>0.21187929519971063</v>
      </c>
      <c r="M352" s="2"/>
      <c r="N352" s="12">
        <f t="shared" si="87"/>
        <v>8201</v>
      </c>
      <c r="O352" s="2"/>
      <c r="P352" s="12">
        <v>38706</v>
      </c>
    </row>
    <row r="353" spans="1:17" x14ac:dyDescent="0.25">
      <c r="A353" t="s">
        <v>191</v>
      </c>
      <c r="B353" t="s">
        <v>36</v>
      </c>
      <c r="C353" t="s">
        <v>37</v>
      </c>
      <c r="D353" s="12">
        <f>ROUNDUP((64383.42),0)</f>
        <v>64384</v>
      </c>
      <c r="E353" s="2"/>
      <c r="F353" s="37">
        <f t="shared" si="84"/>
        <v>1.6305977806190905E-2</v>
      </c>
      <c r="G353" s="2"/>
      <c r="H353" s="12">
        <f t="shared" si="85"/>
        <v>1033</v>
      </c>
      <c r="I353" s="2"/>
      <c r="J353" s="12">
        <f>ROUNDUP((63350.86),0)</f>
        <v>63351</v>
      </c>
      <c r="K353" s="2"/>
      <c r="L353" s="13">
        <f t="shared" si="86"/>
        <v>3.5942635684267331E-2</v>
      </c>
      <c r="M353" s="2"/>
      <c r="N353" s="12">
        <f t="shared" si="87"/>
        <v>2198</v>
      </c>
      <c r="O353" s="2"/>
      <c r="P353" s="12">
        <v>61153</v>
      </c>
    </row>
    <row r="354" spans="1:17" x14ac:dyDescent="0.25">
      <c r="A354" t="s">
        <v>191</v>
      </c>
      <c r="B354" t="s">
        <v>38</v>
      </c>
      <c r="C354" t="s">
        <v>39</v>
      </c>
      <c r="D354" s="12">
        <f>ROUNDUP((141328.87),0)</f>
        <v>141329</v>
      </c>
      <c r="E354" s="2"/>
      <c r="F354" s="37">
        <f t="shared" si="84"/>
        <v>0.11521526418786693</v>
      </c>
      <c r="G354" s="2"/>
      <c r="H354" s="12">
        <f t="shared" si="85"/>
        <v>14601</v>
      </c>
      <c r="I354" s="2"/>
      <c r="J354" s="12">
        <f>ROUNDUP((126727.09),0)</f>
        <v>126728</v>
      </c>
      <c r="K354" s="2"/>
      <c r="L354" s="13">
        <f t="shared" si="86"/>
        <v>7.1351278236169352E-2</v>
      </c>
      <c r="M354" s="2"/>
      <c r="N354" s="12">
        <f t="shared" si="87"/>
        <v>8440</v>
      </c>
      <c r="O354" s="2"/>
      <c r="P354" s="12">
        <v>118288</v>
      </c>
    </row>
    <row r="355" spans="1:17" x14ac:dyDescent="0.25">
      <c r="A355" t="s">
        <v>191</v>
      </c>
      <c r="B355" t="s">
        <v>11</v>
      </c>
      <c r="C355" t="s">
        <v>12</v>
      </c>
      <c r="D355" s="12">
        <f>ROUNDUP((50238.32),0)</f>
        <v>50239</v>
      </c>
      <c r="E355" s="2"/>
      <c r="F355" s="37">
        <f t="shared" si="84"/>
        <v>1.5667960536956169E-2</v>
      </c>
      <c r="G355" s="2"/>
      <c r="H355" s="12">
        <f t="shared" si="85"/>
        <v>775</v>
      </c>
      <c r="I355" s="2"/>
      <c r="J355" s="12">
        <f>ROUNDUP((49463.9),0)</f>
        <v>49464</v>
      </c>
      <c r="K355" s="2"/>
      <c r="L355" s="13">
        <f t="shared" si="86"/>
        <v>3.4465450895097872E-2</v>
      </c>
      <c r="M355" s="2"/>
      <c r="N355" s="12">
        <f t="shared" si="87"/>
        <v>1648</v>
      </c>
      <c r="O355" s="2"/>
      <c r="P355" s="12">
        <v>47816</v>
      </c>
    </row>
    <row r="356" spans="1:17" x14ac:dyDescent="0.25">
      <c r="A356" t="s">
        <v>191</v>
      </c>
      <c r="B356" t="s">
        <v>192</v>
      </c>
      <c r="C356" t="s">
        <v>193</v>
      </c>
      <c r="D356" s="12">
        <v>1000</v>
      </c>
      <c r="E356" s="2"/>
      <c r="F356" s="37">
        <f t="shared" si="84"/>
        <v>0</v>
      </c>
      <c r="G356" s="2"/>
      <c r="H356" s="12">
        <f t="shared" si="85"/>
        <v>0</v>
      </c>
      <c r="I356" s="2"/>
      <c r="J356" s="12">
        <v>1000</v>
      </c>
      <c r="K356" s="2"/>
      <c r="L356" s="13">
        <f t="shared" si="86"/>
        <v>0.66666666666666663</v>
      </c>
      <c r="M356" s="2"/>
      <c r="N356" s="12">
        <f t="shared" si="87"/>
        <v>400</v>
      </c>
      <c r="O356" s="2"/>
      <c r="P356" s="12">
        <v>600</v>
      </c>
    </row>
    <row r="357" spans="1:17" x14ac:dyDescent="0.25">
      <c r="A357" t="s">
        <v>191</v>
      </c>
      <c r="B357" t="s">
        <v>13</v>
      </c>
      <c r="C357" t="s">
        <v>14</v>
      </c>
      <c r="D357" s="12">
        <v>2000</v>
      </c>
      <c r="E357" s="2"/>
      <c r="F357" s="37">
        <f t="shared" si="84"/>
        <v>0</v>
      </c>
      <c r="G357" s="2"/>
      <c r="H357" s="12">
        <f t="shared" si="85"/>
        <v>0</v>
      </c>
      <c r="I357" s="2"/>
      <c r="J357" s="12">
        <v>2000</v>
      </c>
      <c r="K357" s="2"/>
      <c r="L357" s="13">
        <f t="shared" si="86"/>
        <v>0.33333333333333331</v>
      </c>
      <c r="M357" s="2"/>
      <c r="N357" s="12">
        <f t="shared" si="87"/>
        <v>500</v>
      </c>
      <c r="O357" s="2"/>
      <c r="P357" s="12">
        <v>1500</v>
      </c>
    </row>
    <row r="358" spans="1:17" x14ac:dyDescent="0.25">
      <c r="A358" t="s">
        <v>191</v>
      </c>
      <c r="B358" t="s">
        <v>15</v>
      </c>
      <c r="C358" t="s">
        <v>16</v>
      </c>
      <c r="D358" s="12">
        <v>8500</v>
      </c>
      <c r="E358" s="2"/>
      <c r="F358" s="37">
        <f t="shared" si="84"/>
        <v>0</v>
      </c>
      <c r="G358" s="2"/>
      <c r="H358" s="12">
        <f t="shared" si="85"/>
        <v>0</v>
      </c>
      <c r="I358" s="2"/>
      <c r="J358" s="12">
        <v>8500</v>
      </c>
      <c r="K358" s="2"/>
      <c r="L358" s="13">
        <f t="shared" si="86"/>
        <v>0</v>
      </c>
      <c r="M358" s="2"/>
      <c r="N358" s="12">
        <f t="shared" si="87"/>
        <v>0</v>
      </c>
      <c r="O358" s="2"/>
      <c r="P358" s="12">
        <v>8500</v>
      </c>
    </row>
    <row r="359" spans="1:17" x14ac:dyDescent="0.25">
      <c r="A359" t="s">
        <v>191</v>
      </c>
      <c r="B359" t="s">
        <v>19</v>
      </c>
      <c r="C359" t="s">
        <v>20</v>
      </c>
      <c r="D359" s="12">
        <v>150</v>
      </c>
      <c r="E359" s="2"/>
      <c r="F359" s="37">
        <f t="shared" si="84"/>
        <v>0</v>
      </c>
      <c r="G359" s="2"/>
      <c r="H359" s="12">
        <f t="shared" si="85"/>
        <v>0</v>
      </c>
      <c r="I359" s="2"/>
      <c r="J359" s="12">
        <v>150</v>
      </c>
      <c r="K359" s="2"/>
      <c r="L359" s="13">
        <f t="shared" si="86"/>
        <v>0</v>
      </c>
      <c r="M359" s="2"/>
      <c r="N359" s="12">
        <f t="shared" si="87"/>
        <v>0</v>
      </c>
      <c r="O359" s="2"/>
      <c r="P359" s="12">
        <v>150</v>
      </c>
    </row>
    <row r="360" spans="1:17" x14ac:dyDescent="0.25">
      <c r="A360" t="s">
        <v>191</v>
      </c>
      <c r="B360" t="s">
        <v>21</v>
      </c>
      <c r="C360" t="s">
        <v>22</v>
      </c>
      <c r="D360" s="12">
        <v>1500</v>
      </c>
      <c r="E360" s="2"/>
      <c r="F360" s="37">
        <f t="shared" si="84"/>
        <v>0</v>
      </c>
      <c r="G360" s="2"/>
      <c r="H360" s="12">
        <f t="shared" si="85"/>
        <v>0</v>
      </c>
      <c r="I360" s="2"/>
      <c r="J360" s="12">
        <v>1500</v>
      </c>
      <c r="K360" s="2"/>
      <c r="L360" s="13">
        <f t="shared" si="86"/>
        <v>0.5</v>
      </c>
      <c r="M360" s="2"/>
      <c r="N360" s="12">
        <f t="shared" si="87"/>
        <v>500</v>
      </c>
      <c r="O360" s="2"/>
      <c r="P360" s="12">
        <v>1000</v>
      </c>
    </row>
    <row r="361" spans="1:17" x14ac:dyDescent="0.25">
      <c r="A361" t="s">
        <v>191</v>
      </c>
      <c r="B361" t="s">
        <v>194</v>
      </c>
      <c r="C361" t="s">
        <v>195</v>
      </c>
      <c r="D361" s="12">
        <v>1500</v>
      </c>
      <c r="E361" s="2"/>
      <c r="F361" s="37">
        <f t="shared" si="84"/>
        <v>0</v>
      </c>
      <c r="G361" s="2"/>
      <c r="H361" s="12">
        <f t="shared" si="85"/>
        <v>0</v>
      </c>
      <c r="I361" s="2"/>
      <c r="J361" s="12">
        <v>1500</v>
      </c>
      <c r="K361" s="2"/>
      <c r="L361" s="13">
        <f t="shared" si="86"/>
        <v>0</v>
      </c>
      <c r="M361" s="2"/>
      <c r="N361" s="12">
        <f t="shared" si="87"/>
        <v>0</v>
      </c>
      <c r="O361" s="2"/>
      <c r="P361" s="12">
        <v>1500</v>
      </c>
    </row>
    <row r="362" spans="1:17" x14ac:dyDescent="0.25">
      <c r="A362" t="s">
        <v>191</v>
      </c>
      <c r="B362" t="s">
        <v>153</v>
      </c>
      <c r="C362" t="s">
        <v>154</v>
      </c>
      <c r="D362" s="12">
        <v>10750</v>
      </c>
      <c r="E362" s="2"/>
      <c r="F362" s="37">
        <f t="shared" si="84"/>
        <v>0</v>
      </c>
      <c r="G362" s="2"/>
      <c r="H362" s="12">
        <f t="shared" si="85"/>
        <v>0</v>
      </c>
      <c r="I362" s="2"/>
      <c r="J362" s="12">
        <v>10750</v>
      </c>
      <c r="K362" s="2"/>
      <c r="L362" s="13">
        <f t="shared" si="86"/>
        <v>0</v>
      </c>
      <c r="M362" s="2"/>
      <c r="N362" s="12">
        <f t="shared" si="87"/>
        <v>0</v>
      </c>
      <c r="O362" s="2"/>
      <c r="P362" s="12">
        <v>10750</v>
      </c>
    </row>
    <row r="363" spans="1:17" x14ac:dyDescent="0.25">
      <c r="A363" t="s">
        <v>191</v>
      </c>
      <c r="B363" t="s">
        <v>40</v>
      </c>
      <c r="C363" t="s">
        <v>41</v>
      </c>
      <c r="D363" s="12">
        <v>1600</v>
      </c>
      <c r="E363" s="2"/>
      <c r="F363" s="37">
        <f t="shared" si="84"/>
        <v>0</v>
      </c>
      <c r="G363" s="2"/>
      <c r="H363" s="12">
        <f t="shared" si="85"/>
        <v>0</v>
      </c>
      <c r="I363" s="2"/>
      <c r="J363" s="12">
        <v>1600</v>
      </c>
      <c r="K363" s="2"/>
      <c r="L363" s="13">
        <f t="shared" si="86"/>
        <v>0</v>
      </c>
      <c r="M363" s="2"/>
      <c r="N363" s="12">
        <f t="shared" si="87"/>
        <v>0</v>
      </c>
      <c r="O363" s="2"/>
      <c r="P363" s="12">
        <v>1600</v>
      </c>
    </row>
    <row r="364" spans="1:17" x14ac:dyDescent="0.25">
      <c r="A364" t="s">
        <v>191</v>
      </c>
      <c r="B364" t="s">
        <v>111</v>
      </c>
      <c r="C364" t="s">
        <v>112</v>
      </c>
      <c r="D364" s="12">
        <v>5000</v>
      </c>
      <c r="E364" s="2"/>
      <c r="F364" s="37">
        <f t="shared" si="84"/>
        <v>0</v>
      </c>
      <c r="G364" s="2"/>
      <c r="H364" s="12">
        <f t="shared" si="85"/>
        <v>0</v>
      </c>
      <c r="I364" s="2"/>
      <c r="J364" s="12">
        <v>5000</v>
      </c>
      <c r="K364" s="2"/>
      <c r="L364" s="13">
        <f t="shared" si="86"/>
        <v>0.66666666666666663</v>
      </c>
      <c r="M364" s="2"/>
      <c r="N364" s="12">
        <f t="shared" si="87"/>
        <v>2000</v>
      </c>
      <c r="O364" s="2"/>
      <c r="P364" s="12">
        <v>3000</v>
      </c>
    </row>
    <row r="365" spans="1:17" x14ac:dyDescent="0.25">
      <c r="A365" t="s">
        <v>191</v>
      </c>
      <c r="B365" t="s">
        <v>196</v>
      </c>
      <c r="C365" t="s">
        <v>197</v>
      </c>
      <c r="D365" s="12">
        <v>15000</v>
      </c>
      <c r="E365" s="2"/>
      <c r="F365" s="37">
        <f t="shared" si="84"/>
        <v>0</v>
      </c>
      <c r="G365" s="2"/>
      <c r="H365" s="12">
        <f t="shared" si="85"/>
        <v>0</v>
      </c>
      <c r="I365" s="2"/>
      <c r="J365" s="12">
        <v>15000</v>
      </c>
      <c r="K365" s="2"/>
      <c r="L365" s="13">
        <f t="shared" si="86"/>
        <v>0</v>
      </c>
      <c r="M365" s="2"/>
      <c r="N365" s="12">
        <f t="shared" si="87"/>
        <v>0</v>
      </c>
      <c r="O365" s="2"/>
      <c r="P365" s="12">
        <v>15000</v>
      </c>
    </row>
    <row r="366" spans="1:17" x14ac:dyDescent="0.25">
      <c r="A366" t="s">
        <v>191</v>
      </c>
      <c r="B366" t="s">
        <v>198</v>
      </c>
      <c r="C366" t="s">
        <v>199</v>
      </c>
      <c r="D366" s="12">
        <v>25000</v>
      </c>
      <c r="E366" s="2"/>
      <c r="F366" s="37">
        <f t="shared" si="84"/>
        <v>0</v>
      </c>
      <c r="G366" s="2"/>
      <c r="H366" s="12">
        <f t="shared" si="85"/>
        <v>0</v>
      </c>
      <c r="I366" s="2"/>
      <c r="J366" s="12">
        <v>25000</v>
      </c>
      <c r="K366" s="2"/>
      <c r="L366" s="13">
        <f t="shared" si="86"/>
        <v>0</v>
      </c>
      <c r="M366" s="2"/>
      <c r="N366" s="12">
        <f t="shared" si="87"/>
        <v>0</v>
      </c>
      <c r="O366" s="2"/>
      <c r="P366" s="12">
        <v>25000</v>
      </c>
    </row>
    <row r="367" spans="1:17" x14ac:dyDescent="0.25">
      <c r="A367" t="s">
        <v>191</v>
      </c>
      <c r="B367" t="s">
        <v>200</v>
      </c>
      <c r="C367" t="s">
        <v>201</v>
      </c>
      <c r="D367" s="12">
        <v>5000</v>
      </c>
      <c r="E367" s="2"/>
      <c r="F367" s="37">
        <f t="shared" si="84"/>
        <v>0</v>
      </c>
      <c r="G367" s="2"/>
      <c r="H367" s="12">
        <f t="shared" si="85"/>
        <v>0</v>
      </c>
      <c r="I367" s="2"/>
      <c r="J367" s="12">
        <v>5000</v>
      </c>
      <c r="K367" s="2"/>
      <c r="L367" s="13">
        <f t="shared" si="86"/>
        <v>0</v>
      </c>
      <c r="M367" s="2"/>
      <c r="N367" s="12">
        <f t="shared" si="87"/>
        <v>0</v>
      </c>
      <c r="O367" s="2"/>
      <c r="P367" s="12">
        <v>5000</v>
      </c>
    </row>
    <row r="368" spans="1:17" x14ac:dyDescent="0.25">
      <c r="A368" t="s">
        <v>191</v>
      </c>
      <c r="B368" t="s">
        <v>169</v>
      </c>
      <c r="C368" t="s">
        <v>170</v>
      </c>
      <c r="D368" s="47">
        <v>80000</v>
      </c>
      <c r="E368" s="2"/>
      <c r="F368" s="37">
        <f t="shared" si="84"/>
        <v>0.23076923076923078</v>
      </c>
      <c r="G368" s="2"/>
      <c r="H368" s="12">
        <f t="shared" si="85"/>
        <v>15000</v>
      </c>
      <c r="I368" s="2"/>
      <c r="J368" s="16">
        <v>65000</v>
      </c>
      <c r="K368" s="2"/>
      <c r="L368" s="13">
        <f t="shared" si="86"/>
        <v>0.18181818181818182</v>
      </c>
      <c r="M368" s="2"/>
      <c r="N368" s="12">
        <f t="shared" si="87"/>
        <v>10000</v>
      </c>
      <c r="O368" s="2"/>
      <c r="P368" s="12">
        <v>55000</v>
      </c>
      <c r="Q368" t="s">
        <v>412</v>
      </c>
    </row>
    <row r="369" spans="1:16" x14ac:dyDescent="0.25">
      <c r="A369" t="s">
        <v>191</v>
      </c>
      <c r="B369" t="s">
        <v>202</v>
      </c>
      <c r="C369" t="s">
        <v>203</v>
      </c>
      <c r="D369" s="47">
        <v>20000</v>
      </c>
      <c r="E369" s="2"/>
      <c r="F369" s="37">
        <f t="shared" si="84"/>
        <v>0</v>
      </c>
      <c r="G369" s="2"/>
      <c r="H369" s="12">
        <f t="shared" si="85"/>
        <v>0</v>
      </c>
      <c r="I369" s="2"/>
      <c r="J369" s="16">
        <v>20000</v>
      </c>
      <c r="K369" s="2"/>
      <c r="L369" s="13">
        <f t="shared" si="86"/>
        <v>0.33333333333333331</v>
      </c>
      <c r="M369" s="2"/>
      <c r="N369" s="12">
        <f t="shared" si="87"/>
        <v>5000</v>
      </c>
      <c r="O369" s="2"/>
      <c r="P369" s="12">
        <v>15000</v>
      </c>
    </row>
    <row r="370" spans="1:16" x14ac:dyDescent="0.25">
      <c r="A370" t="s">
        <v>191</v>
      </c>
      <c r="B370" t="s">
        <v>85</v>
      </c>
      <c r="C370" t="s">
        <v>86</v>
      </c>
      <c r="D370" s="47">
        <v>9000</v>
      </c>
      <c r="E370" s="2"/>
      <c r="F370" s="37">
        <f t="shared" si="84"/>
        <v>0</v>
      </c>
      <c r="G370" s="2"/>
      <c r="H370" s="12">
        <f t="shared" si="85"/>
        <v>0</v>
      </c>
      <c r="I370" s="2"/>
      <c r="J370" s="16">
        <v>9000</v>
      </c>
      <c r="K370" s="2"/>
      <c r="L370" s="13">
        <f t="shared" si="86"/>
        <v>9.2233009708737865E-2</v>
      </c>
      <c r="M370" s="2"/>
      <c r="N370" s="12">
        <f t="shared" si="87"/>
        <v>760</v>
      </c>
      <c r="O370" s="2"/>
      <c r="P370" s="12">
        <v>8240</v>
      </c>
    </row>
    <row r="371" spans="1:16" x14ac:dyDescent="0.25">
      <c r="A371" t="s">
        <v>191</v>
      </c>
      <c r="B371" t="s">
        <v>204</v>
      </c>
      <c r="C371" t="s">
        <v>205</v>
      </c>
      <c r="D371" s="47">
        <v>6000</v>
      </c>
      <c r="E371" s="2"/>
      <c r="F371" s="37">
        <f t="shared" si="84"/>
        <v>0</v>
      </c>
      <c r="G371" s="2"/>
      <c r="H371" s="12">
        <f t="shared" si="85"/>
        <v>0</v>
      </c>
      <c r="I371" s="2"/>
      <c r="J371" s="16">
        <v>6000</v>
      </c>
      <c r="K371" s="2"/>
      <c r="L371" s="13">
        <f t="shared" si="86"/>
        <v>0.33333333333333331</v>
      </c>
      <c r="M371" s="2"/>
      <c r="N371" s="12">
        <f t="shared" si="87"/>
        <v>1500</v>
      </c>
      <c r="O371" s="2"/>
      <c r="P371" s="12">
        <v>4500</v>
      </c>
    </row>
    <row r="372" spans="1:16" x14ac:dyDescent="0.25">
      <c r="A372" t="s">
        <v>191</v>
      </c>
      <c r="B372" t="s">
        <v>157</v>
      </c>
      <c r="C372" t="s">
        <v>158</v>
      </c>
      <c r="D372" s="47">
        <v>32000</v>
      </c>
      <c r="E372" s="2"/>
      <c r="F372" s="37">
        <f t="shared" si="84"/>
        <v>0</v>
      </c>
      <c r="G372" s="2"/>
      <c r="H372" s="12">
        <f t="shared" si="85"/>
        <v>0</v>
      </c>
      <c r="I372" s="2"/>
      <c r="J372" s="16">
        <v>32000</v>
      </c>
      <c r="K372" s="2"/>
      <c r="L372" s="13">
        <f t="shared" si="86"/>
        <v>-9.379247847757137E-2</v>
      </c>
      <c r="M372" s="2"/>
      <c r="N372" s="12">
        <f t="shared" si="87"/>
        <v>-3312</v>
      </c>
      <c r="O372" s="2"/>
      <c r="P372" s="12">
        <v>35312</v>
      </c>
    </row>
    <row r="373" spans="1:16" x14ac:dyDescent="0.25">
      <c r="A373" t="s">
        <v>191</v>
      </c>
      <c r="B373" t="s">
        <v>159</v>
      </c>
      <c r="C373" t="s">
        <v>160</v>
      </c>
      <c r="D373" s="47">
        <v>6500</v>
      </c>
      <c r="E373" s="2"/>
      <c r="F373" s="37">
        <f t="shared" si="84"/>
        <v>0</v>
      </c>
      <c r="G373" s="2"/>
      <c r="H373" s="12">
        <f t="shared" si="85"/>
        <v>0</v>
      </c>
      <c r="I373" s="2"/>
      <c r="J373" s="16">
        <v>6500</v>
      </c>
      <c r="K373" s="2"/>
      <c r="L373" s="13">
        <f t="shared" si="86"/>
        <v>0.3</v>
      </c>
      <c r="M373" s="2"/>
      <c r="N373" s="12">
        <f t="shared" si="87"/>
        <v>1500</v>
      </c>
      <c r="O373" s="2"/>
      <c r="P373" s="12">
        <v>5000</v>
      </c>
    </row>
    <row r="374" spans="1:16" x14ac:dyDescent="0.25">
      <c r="A374" t="s">
        <v>191</v>
      </c>
      <c r="B374" t="s">
        <v>23</v>
      </c>
      <c r="C374" t="s">
        <v>24</v>
      </c>
      <c r="D374" s="47">
        <v>5200</v>
      </c>
      <c r="E374" s="2"/>
      <c r="F374" s="37">
        <f t="shared" si="84"/>
        <v>0</v>
      </c>
      <c r="G374" s="2"/>
      <c r="H374" s="12">
        <f t="shared" si="85"/>
        <v>0</v>
      </c>
      <c r="I374" s="2"/>
      <c r="J374" s="16">
        <v>5200</v>
      </c>
      <c r="K374" s="2"/>
      <c r="L374" s="13">
        <f t="shared" si="86"/>
        <v>0.3</v>
      </c>
      <c r="M374" s="2"/>
      <c r="N374" s="12">
        <f t="shared" si="87"/>
        <v>1200</v>
      </c>
      <c r="O374" s="2"/>
      <c r="P374" s="12">
        <v>4000</v>
      </c>
    </row>
    <row r="375" spans="1:16" x14ac:dyDescent="0.25">
      <c r="A375" t="s">
        <v>191</v>
      </c>
      <c r="B375" t="s">
        <v>65</v>
      </c>
      <c r="C375" t="s">
        <v>66</v>
      </c>
      <c r="D375" s="47">
        <v>665</v>
      </c>
      <c r="E375" s="2"/>
      <c r="F375" s="37">
        <f t="shared" si="84"/>
        <v>0</v>
      </c>
      <c r="G375" s="2"/>
      <c r="H375" s="12">
        <f t="shared" si="85"/>
        <v>0</v>
      </c>
      <c r="I375" s="2"/>
      <c r="J375" s="16">
        <v>665</v>
      </c>
      <c r="K375" s="2"/>
      <c r="L375" s="13">
        <f t="shared" si="86"/>
        <v>0.33</v>
      </c>
      <c r="M375" s="2"/>
      <c r="N375" s="12">
        <f t="shared" si="87"/>
        <v>165</v>
      </c>
      <c r="O375" s="2"/>
      <c r="P375" s="12">
        <v>500</v>
      </c>
    </row>
    <row r="376" spans="1:16" x14ac:dyDescent="0.25">
      <c r="A376" t="s">
        <v>191</v>
      </c>
      <c r="B376" t="s">
        <v>44</v>
      </c>
      <c r="C376" t="s">
        <v>45</v>
      </c>
      <c r="D376" s="47">
        <v>500</v>
      </c>
      <c r="E376" s="2"/>
      <c r="F376" s="37">
        <f t="shared" si="84"/>
        <v>0</v>
      </c>
      <c r="G376" s="2"/>
      <c r="H376" s="12">
        <f t="shared" si="85"/>
        <v>0</v>
      </c>
      <c r="I376" s="2"/>
      <c r="J376" s="16">
        <v>500</v>
      </c>
      <c r="K376" s="2"/>
      <c r="L376" s="13">
        <f t="shared" si="86"/>
        <v>0</v>
      </c>
      <c r="M376" s="2"/>
      <c r="N376" s="12">
        <f t="shared" si="87"/>
        <v>0</v>
      </c>
      <c r="O376" s="2"/>
      <c r="P376" s="12">
        <v>500</v>
      </c>
    </row>
    <row r="377" spans="1:16" x14ac:dyDescent="0.25">
      <c r="A377" t="s">
        <v>191</v>
      </c>
      <c r="B377" t="s">
        <v>206</v>
      </c>
      <c r="C377" t="s">
        <v>207</v>
      </c>
      <c r="D377" s="47">
        <v>1200</v>
      </c>
      <c r="E377" s="2"/>
      <c r="F377" s="37">
        <f t="shared" si="84"/>
        <v>0</v>
      </c>
      <c r="G377" s="2"/>
      <c r="H377" s="12">
        <f t="shared" si="85"/>
        <v>0</v>
      </c>
      <c r="I377" s="2"/>
      <c r="J377" s="16">
        <v>1200</v>
      </c>
      <c r="K377" s="2"/>
      <c r="L377" s="13">
        <f t="shared" si="86"/>
        <v>0</v>
      </c>
      <c r="M377" s="2"/>
      <c r="N377" s="12">
        <f t="shared" si="87"/>
        <v>0</v>
      </c>
      <c r="O377" s="2"/>
      <c r="P377" s="12">
        <v>1200</v>
      </c>
    </row>
    <row r="378" spans="1:16" x14ac:dyDescent="0.25">
      <c r="A378" t="s">
        <v>191</v>
      </c>
      <c r="B378" t="s">
        <v>67</v>
      </c>
      <c r="C378" t="s">
        <v>68</v>
      </c>
      <c r="D378" s="47">
        <v>28000</v>
      </c>
      <c r="E378" s="2"/>
      <c r="F378" s="37">
        <f t="shared" si="84"/>
        <v>0</v>
      </c>
      <c r="G378" s="2"/>
      <c r="H378" s="12">
        <f t="shared" si="85"/>
        <v>0</v>
      </c>
      <c r="I378" s="2"/>
      <c r="J378" s="16">
        <v>28000</v>
      </c>
      <c r="K378" s="2"/>
      <c r="L378" s="13">
        <f t="shared" si="86"/>
        <v>6.0606060606060608E-2</v>
      </c>
      <c r="M378" s="2"/>
      <c r="N378" s="12">
        <f t="shared" si="87"/>
        <v>1600</v>
      </c>
      <c r="O378" s="2"/>
      <c r="P378" s="12">
        <v>26400</v>
      </c>
    </row>
    <row r="379" spans="1:16" x14ac:dyDescent="0.25">
      <c r="A379" t="s">
        <v>191</v>
      </c>
      <c r="B379" t="s">
        <v>121</v>
      </c>
      <c r="C379" t="s">
        <v>173</v>
      </c>
      <c r="D379" s="47">
        <v>570</v>
      </c>
      <c r="E379" s="2"/>
      <c r="F379" s="37">
        <f t="shared" si="84"/>
        <v>0.14000000000000001</v>
      </c>
      <c r="G379" s="2"/>
      <c r="H379" s="12">
        <f t="shared" si="85"/>
        <v>70</v>
      </c>
      <c r="I379" s="2"/>
      <c r="J379" s="16">
        <v>500</v>
      </c>
      <c r="K379" s="2"/>
      <c r="L379" s="13">
        <f t="shared" si="86"/>
        <v>0</v>
      </c>
      <c r="M379" s="2"/>
      <c r="N379" s="12">
        <f t="shared" si="87"/>
        <v>0</v>
      </c>
      <c r="O379" s="2"/>
      <c r="P379" s="12">
        <v>500</v>
      </c>
    </row>
    <row r="380" spans="1:16" x14ac:dyDescent="0.25">
      <c r="A380" t="s">
        <v>191</v>
      </c>
      <c r="B380" t="s">
        <v>123</v>
      </c>
      <c r="C380" t="s">
        <v>124</v>
      </c>
      <c r="D380" s="47">
        <v>4020</v>
      </c>
      <c r="E380" s="2"/>
      <c r="F380" s="37">
        <f t="shared" si="84"/>
        <v>0</v>
      </c>
      <c r="G380" s="2"/>
      <c r="H380" s="12">
        <f t="shared" si="85"/>
        <v>0</v>
      </c>
      <c r="I380" s="2"/>
      <c r="J380" s="16">
        <v>4020</v>
      </c>
      <c r="K380" s="2"/>
      <c r="L380" s="13">
        <f t="shared" si="86"/>
        <v>0</v>
      </c>
      <c r="M380" s="2"/>
      <c r="N380" s="12">
        <f t="shared" si="87"/>
        <v>0</v>
      </c>
      <c r="O380" s="2"/>
      <c r="P380" s="12">
        <v>4020</v>
      </c>
    </row>
    <row r="381" spans="1:16" x14ac:dyDescent="0.25">
      <c r="A381" t="s">
        <v>191</v>
      </c>
      <c r="B381" t="s">
        <v>125</v>
      </c>
      <c r="C381" t="s">
        <v>126</v>
      </c>
      <c r="D381" s="47">
        <v>637</v>
      </c>
      <c r="E381" s="2"/>
      <c r="F381" s="37">
        <f t="shared" si="84"/>
        <v>-0.15066666666666667</v>
      </c>
      <c r="G381" s="2"/>
      <c r="H381" s="12">
        <f t="shared" si="85"/>
        <v>-113</v>
      </c>
      <c r="I381" s="2"/>
      <c r="J381" s="16">
        <v>750</v>
      </c>
      <c r="K381" s="2"/>
      <c r="L381" s="13">
        <f t="shared" si="86"/>
        <v>0.22549019607843138</v>
      </c>
      <c r="M381" s="2"/>
      <c r="N381" s="12">
        <f t="shared" si="87"/>
        <v>138</v>
      </c>
      <c r="O381" s="2"/>
      <c r="P381" s="12">
        <v>612</v>
      </c>
    </row>
    <row r="382" spans="1:16" x14ac:dyDescent="0.25">
      <c r="A382" t="s">
        <v>191</v>
      </c>
      <c r="B382" t="s">
        <v>208</v>
      </c>
      <c r="C382" t="s">
        <v>209</v>
      </c>
      <c r="D382" s="47">
        <v>25000</v>
      </c>
      <c r="E382" s="2"/>
      <c r="F382" s="37">
        <f t="shared" si="84"/>
        <v>0</v>
      </c>
      <c r="G382" s="2"/>
      <c r="H382" s="12">
        <f t="shared" si="85"/>
        <v>0</v>
      </c>
      <c r="I382" s="2"/>
      <c r="J382" s="16">
        <v>25000</v>
      </c>
      <c r="K382" s="2"/>
      <c r="L382" s="13">
        <f t="shared" si="86"/>
        <v>0</v>
      </c>
      <c r="M382" s="2"/>
      <c r="N382" s="12">
        <f t="shared" si="87"/>
        <v>0</v>
      </c>
      <c r="O382" s="2"/>
      <c r="P382" s="12">
        <v>25000</v>
      </c>
    </row>
    <row r="383" spans="1:16" x14ac:dyDescent="0.25">
      <c r="A383" t="s">
        <v>191</v>
      </c>
      <c r="B383" t="s">
        <v>69</v>
      </c>
      <c r="C383" t="s">
        <v>70</v>
      </c>
      <c r="D383" s="47">
        <v>12000</v>
      </c>
      <c r="E383" s="2"/>
      <c r="F383" s="37">
        <f t="shared" si="84"/>
        <v>0</v>
      </c>
      <c r="G383" s="2"/>
      <c r="H383" s="12">
        <f t="shared" si="85"/>
        <v>0</v>
      </c>
      <c r="I383" s="2"/>
      <c r="J383" s="16">
        <v>12000</v>
      </c>
      <c r="K383" s="2"/>
      <c r="L383" s="13">
        <f t="shared" si="86"/>
        <v>0.5</v>
      </c>
      <c r="M383" s="2"/>
      <c r="N383" s="12">
        <f t="shared" si="87"/>
        <v>4000</v>
      </c>
      <c r="O383" s="2"/>
      <c r="P383" s="12">
        <v>8000</v>
      </c>
    </row>
    <row r="384" spans="1:16" x14ac:dyDescent="0.25">
      <c r="A384" t="s">
        <v>191</v>
      </c>
      <c r="B384" t="s">
        <v>210</v>
      </c>
      <c r="C384" t="s">
        <v>211</v>
      </c>
      <c r="D384" s="47">
        <v>5000</v>
      </c>
      <c r="E384" s="2"/>
      <c r="F384" s="37">
        <f t="shared" si="84"/>
        <v>0</v>
      </c>
      <c r="G384" s="2"/>
      <c r="H384" s="12">
        <f t="shared" si="85"/>
        <v>0</v>
      </c>
      <c r="I384" s="2"/>
      <c r="J384" s="16">
        <v>5000</v>
      </c>
      <c r="K384" s="2"/>
      <c r="L384" s="13">
        <f t="shared" si="86"/>
        <v>0</v>
      </c>
      <c r="M384" s="2"/>
      <c r="N384" s="12">
        <f t="shared" si="87"/>
        <v>0</v>
      </c>
      <c r="O384" s="2"/>
      <c r="P384" s="12">
        <v>5000</v>
      </c>
    </row>
    <row r="385" spans="1:17" x14ac:dyDescent="0.25">
      <c r="A385" t="s">
        <v>191</v>
      </c>
      <c r="B385" t="s">
        <v>212</v>
      </c>
      <c r="C385" t="s">
        <v>213</v>
      </c>
      <c r="D385" s="47">
        <v>1500</v>
      </c>
      <c r="E385" s="2"/>
      <c r="F385" s="37">
        <f t="shared" si="84"/>
        <v>0</v>
      </c>
      <c r="G385" s="2"/>
      <c r="H385" s="12">
        <f t="shared" si="85"/>
        <v>0</v>
      </c>
      <c r="I385" s="2"/>
      <c r="J385" s="16">
        <v>1500</v>
      </c>
      <c r="K385" s="2"/>
      <c r="L385" s="13">
        <f t="shared" si="86"/>
        <v>0</v>
      </c>
      <c r="M385" s="2"/>
      <c r="N385" s="12">
        <f t="shared" si="87"/>
        <v>0</v>
      </c>
      <c r="O385" s="2"/>
      <c r="P385" s="12">
        <v>1500</v>
      </c>
    </row>
    <row r="386" spans="1:17" x14ac:dyDescent="0.25">
      <c r="A386" t="s">
        <v>191</v>
      </c>
      <c r="B386" t="s">
        <v>214</v>
      </c>
      <c r="C386" t="s">
        <v>215</v>
      </c>
      <c r="D386" s="47">
        <v>5000</v>
      </c>
      <c r="E386" s="2"/>
      <c r="F386" s="37">
        <f t="shared" si="84"/>
        <v>0</v>
      </c>
      <c r="G386" s="2"/>
      <c r="H386" s="12">
        <f t="shared" si="85"/>
        <v>0</v>
      </c>
      <c r="I386" s="2"/>
      <c r="J386" s="16">
        <v>5000</v>
      </c>
      <c r="K386" s="2"/>
      <c r="L386" s="13">
        <f t="shared" si="86"/>
        <v>0</v>
      </c>
      <c r="M386" s="2"/>
      <c r="N386" s="12">
        <f t="shared" si="87"/>
        <v>0</v>
      </c>
      <c r="O386" s="2"/>
      <c r="P386" s="12">
        <v>5000</v>
      </c>
    </row>
    <row r="387" spans="1:17" x14ac:dyDescent="0.25">
      <c r="A387" t="s">
        <v>191</v>
      </c>
      <c r="B387" t="s">
        <v>216</v>
      </c>
      <c r="C387" t="s">
        <v>217</v>
      </c>
      <c r="D387" s="47">
        <v>6500</v>
      </c>
      <c r="E387" s="2"/>
      <c r="F387" s="37">
        <f t="shared" si="84"/>
        <v>0</v>
      </c>
      <c r="G387" s="2"/>
      <c r="H387" s="12">
        <f t="shared" si="85"/>
        <v>0</v>
      </c>
      <c r="I387" s="2"/>
      <c r="J387" s="16">
        <v>6500</v>
      </c>
      <c r="K387" s="2"/>
      <c r="L387" s="13">
        <f t="shared" si="86"/>
        <v>0</v>
      </c>
      <c r="M387" s="2"/>
      <c r="N387" s="12">
        <f t="shared" si="87"/>
        <v>0</v>
      </c>
      <c r="O387" s="2"/>
      <c r="P387" s="12">
        <v>6500</v>
      </c>
    </row>
    <row r="388" spans="1:17" x14ac:dyDescent="0.25">
      <c r="A388" t="s">
        <v>191</v>
      </c>
      <c r="B388" t="s">
        <v>174</v>
      </c>
      <c r="C388" t="s">
        <v>175</v>
      </c>
      <c r="D388" s="47">
        <v>2500</v>
      </c>
      <c r="E388" s="2"/>
      <c r="F388" s="37">
        <f t="shared" si="84"/>
        <v>0</v>
      </c>
      <c r="G388" s="2"/>
      <c r="H388" s="12">
        <f t="shared" si="85"/>
        <v>0</v>
      </c>
      <c r="I388" s="2"/>
      <c r="J388" s="16">
        <v>2500</v>
      </c>
      <c r="K388" s="2"/>
      <c r="L388" s="13">
        <f t="shared" si="86"/>
        <v>0.66666666666666663</v>
      </c>
      <c r="M388" s="2"/>
      <c r="N388" s="12">
        <f t="shared" si="87"/>
        <v>1000</v>
      </c>
      <c r="O388" s="2"/>
      <c r="P388" s="12">
        <v>1500</v>
      </c>
    </row>
    <row r="389" spans="1:17" x14ac:dyDescent="0.25">
      <c r="A389" t="s">
        <v>191</v>
      </c>
      <c r="B389" t="s">
        <v>218</v>
      </c>
      <c r="C389" t="s">
        <v>219</v>
      </c>
      <c r="D389" s="47">
        <v>10000</v>
      </c>
      <c r="E389" s="2"/>
      <c r="F389" s="37">
        <f t="shared" si="84"/>
        <v>0</v>
      </c>
      <c r="G389" s="2"/>
      <c r="H389" s="12">
        <f t="shared" si="85"/>
        <v>0</v>
      </c>
      <c r="I389" s="2"/>
      <c r="J389" s="16">
        <v>10000</v>
      </c>
      <c r="K389" s="2"/>
      <c r="L389" s="13">
        <f t="shared" si="86"/>
        <v>0.53846153846153844</v>
      </c>
      <c r="M389" s="2"/>
      <c r="N389" s="12">
        <f t="shared" si="87"/>
        <v>3500</v>
      </c>
      <c r="O389" s="2"/>
      <c r="P389" s="12">
        <v>6500</v>
      </c>
    </row>
    <row r="390" spans="1:17" x14ac:dyDescent="0.25">
      <c r="A390" t="s">
        <v>191</v>
      </c>
      <c r="B390" t="s">
        <v>220</v>
      </c>
      <c r="C390" t="s">
        <v>221</v>
      </c>
      <c r="D390" s="47">
        <v>3000</v>
      </c>
      <c r="E390" s="2"/>
      <c r="F390" s="37">
        <f t="shared" si="84"/>
        <v>0</v>
      </c>
      <c r="G390" s="2"/>
      <c r="H390" s="12">
        <f t="shared" si="85"/>
        <v>0</v>
      </c>
      <c r="I390" s="2"/>
      <c r="J390" s="16">
        <v>3000</v>
      </c>
      <c r="K390" s="2"/>
      <c r="L390" s="13">
        <f t="shared" si="86"/>
        <v>0</v>
      </c>
      <c r="M390" s="2"/>
      <c r="N390" s="12">
        <f t="shared" si="87"/>
        <v>0</v>
      </c>
      <c r="O390" s="2"/>
      <c r="P390" s="12">
        <v>3000</v>
      </c>
    </row>
    <row r="391" spans="1:17" x14ac:dyDescent="0.25">
      <c r="A391" t="s">
        <v>191</v>
      </c>
      <c r="B391" t="s">
        <v>222</v>
      </c>
      <c r="C391" t="s">
        <v>223</v>
      </c>
      <c r="D391" s="47">
        <v>35000</v>
      </c>
      <c r="E391" s="2"/>
      <c r="F391" s="37">
        <f t="shared" si="84"/>
        <v>0</v>
      </c>
      <c r="G391" s="2"/>
      <c r="H391" s="12">
        <f t="shared" si="85"/>
        <v>0</v>
      </c>
      <c r="I391" s="2"/>
      <c r="J391" s="16">
        <v>35000</v>
      </c>
      <c r="K391" s="2"/>
      <c r="L391" s="13">
        <f t="shared" si="86"/>
        <v>0</v>
      </c>
      <c r="M391" s="2"/>
      <c r="N391" s="12">
        <f t="shared" si="87"/>
        <v>0</v>
      </c>
      <c r="O391" s="2"/>
      <c r="P391" s="12">
        <v>35000</v>
      </c>
    </row>
    <row r="392" spans="1:17" x14ac:dyDescent="0.25">
      <c r="A392" t="s">
        <v>191</v>
      </c>
      <c r="B392" t="s">
        <v>71</v>
      </c>
      <c r="C392" t="s">
        <v>72</v>
      </c>
      <c r="D392" s="47">
        <f>185500+250000</f>
        <v>435500</v>
      </c>
      <c r="E392" s="2"/>
      <c r="F392" s="37">
        <f t="shared" si="84"/>
        <v>-0.42697368421052634</v>
      </c>
      <c r="G392" s="2"/>
      <c r="H392" s="12">
        <f t="shared" si="85"/>
        <v>-324500</v>
      </c>
      <c r="I392" s="2"/>
      <c r="J392" s="16">
        <v>760000</v>
      </c>
      <c r="K392" s="2"/>
      <c r="L392" s="13">
        <f t="shared" si="86"/>
        <v>4.8148431522570769</v>
      </c>
      <c r="M392" s="2"/>
      <c r="N392" s="12">
        <f t="shared" si="87"/>
        <v>629300</v>
      </c>
      <c r="O392" s="2"/>
      <c r="P392" s="12">
        <v>130700</v>
      </c>
      <c r="Q392" t="s">
        <v>431</v>
      </c>
    </row>
    <row r="393" spans="1:17" x14ac:dyDescent="0.25">
      <c r="A393" t="s">
        <v>191</v>
      </c>
      <c r="B393" t="s">
        <v>224</v>
      </c>
      <c r="C393" t="s">
        <v>225</v>
      </c>
      <c r="D393" s="60">
        <v>0</v>
      </c>
      <c r="E393" s="2"/>
      <c r="F393" s="37">
        <f t="shared" si="84"/>
        <v>-1</v>
      </c>
      <c r="G393" s="2"/>
      <c r="H393" s="12">
        <f t="shared" si="85"/>
        <v>-475000</v>
      </c>
      <c r="I393" s="2"/>
      <c r="J393" s="16">
        <v>475000</v>
      </c>
      <c r="K393" s="2"/>
      <c r="L393" s="13">
        <f t="shared" si="86"/>
        <v>0</v>
      </c>
      <c r="M393" s="2"/>
      <c r="N393" s="12">
        <f t="shared" si="87"/>
        <v>0</v>
      </c>
      <c r="O393" s="2"/>
      <c r="P393" s="12">
        <v>475000</v>
      </c>
    </row>
    <row r="394" spans="1:17" x14ac:dyDescent="0.25">
      <c r="D394" s="2"/>
      <c r="E394" s="2"/>
      <c r="F394" s="2"/>
      <c r="G394" s="2"/>
      <c r="H394" s="2"/>
      <c r="I394" s="2"/>
      <c r="J394" s="2"/>
      <c r="K394" s="2"/>
      <c r="M394" s="2"/>
      <c r="O394" s="2"/>
    </row>
    <row r="395" spans="1:17" x14ac:dyDescent="0.25">
      <c r="A395" t="s">
        <v>5</v>
      </c>
      <c r="B395" t="s">
        <v>5</v>
      </c>
      <c r="C395" s="1" t="s">
        <v>384</v>
      </c>
      <c r="D395" s="8">
        <f>SUM(D345:D393)</f>
        <v>1775838</v>
      </c>
      <c r="E395" s="2"/>
      <c r="F395" s="15">
        <f>H395/J395</f>
        <v>-0.29894120991046474</v>
      </c>
      <c r="G395" s="2"/>
      <c r="H395" s="8">
        <f>SUM(H345:H393)</f>
        <v>-757242</v>
      </c>
      <c r="I395" s="2"/>
      <c r="J395" s="8">
        <f>SUM(J345:J393)</f>
        <v>2533080</v>
      </c>
      <c r="K395" s="2"/>
      <c r="L395" s="15">
        <f>N395/P395</f>
        <v>0.38313103018985373</v>
      </c>
      <c r="M395" s="2"/>
      <c r="N395" s="8">
        <f>SUM(N345:N393)</f>
        <v>701670</v>
      </c>
      <c r="O395" s="2"/>
      <c r="P395" s="8">
        <f>SUM(P345:P393)</f>
        <v>1831410</v>
      </c>
    </row>
    <row r="396" spans="1:17" x14ac:dyDescent="0.25">
      <c r="D396" s="2"/>
      <c r="E396" s="2"/>
      <c r="F396" s="2"/>
      <c r="G396" s="2"/>
      <c r="H396" s="2"/>
      <c r="I396" s="2"/>
      <c r="J396" s="2"/>
      <c r="K396" s="2"/>
      <c r="M396" s="2"/>
      <c r="O396" s="2"/>
    </row>
    <row r="397" spans="1:17" x14ac:dyDescent="0.25">
      <c r="A397" t="s">
        <v>226</v>
      </c>
      <c r="B397" t="s">
        <v>61</v>
      </c>
      <c r="C397" t="s">
        <v>75</v>
      </c>
      <c r="D397" s="12">
        <v>65000</v>
      </c>
      <c r="E397" s="2"/>
      <c r="F397" s="37">
        <f t="shared" ref="F397:F403" si="88">H397/J397</f>
        <v>0</v>
      </c>
      <c r="G397" s="2"/>
      <c r="H397" s="12">
        <f t="shared" ref="H397:H403" si="89">D397-J397</f>
        <v>0</v>
      </c>
      <c r="I397" s="2"/>
      <c r="J397" s="12">
        <v>65000</v>
      </c>
      <c r="K397" s="2"/>
      <c r="L397" s="13">
        <f t="shared" ref="L397:L403" si="90">N397/P397</f>
        <v>0</v>
      </c>
      <c r="M397" s="2"/>
      <c r="N397" s="12">
        <f t="shared" ref="N397:N403" si="91">J397-P397</f>
        <v>0</v>
      </c>
      <c r="O397" s="2"/>
      <c r="P397" s="12">
        <v>65000</v>
      </c>
    </row>
    <row r="398" spans="1:17" x14ac:dyDescent="0.25">
      <c r="A398" t="s">
        <v>226</v>
      </c>
      <c r="B398" t="s">
        <v>9</v>
      </c>
      <c r="C398" t="s">
        <v>10</v>
      </c>
      <c r="D398" s="12">
        <f>ROUNDUP((5435.46),0)</f>
        <v>5436</v>
      </c>
      <c r="E398" s="2"/>
      <c r="F398" s="37">
        <f t="shared" si="88"/>
        <v>0</v>
      </c>
      <c r="G398" s="2"/>
      <c r="H398" s="12">
        <f t="shared" si="89"/>
        <v>0</v>
      </c>
      <c r="I398" s="2"/>
      <c r="J398" s="12">
        <f>ROUNDUP((5435.46),0)</f>
        <v>5436</v>
      </c>
      <c r="K398" s="2"/>
      <c r="L398" s="13">
        <f t="shared" si="90"/>
        <v>2.4383301707779887</v>
      </c>
      <c r="M398" s="2"/>
      <c r="N398" s="12">
        <f t="shared" si="91"/>
        <v>3855</v>
      </c>
      <c r="O398" s="2"/>
      <c r="P398" s="12">
        <v>1581</v>
      </c>
    </row>
    <row r="399" spans="1:17" x14ac:dyDescent="0.25">
      <c r="A399" t="s">
        <v>226</v>
      </c>
      <c r="B399" t="s">
        <v>36</v>
      </c>
      <c r="C399" t="s">
        <v>37</v>
      </c>
      <c r="D399" s="12">
        <f>ROUNDUP((6630),0)</f>
        <v>6630</v>
      </c>
      <c r="E399" s="2"/>
      <c r="F399" s="37">
        <f t="shared" si="88"/>
        <v>0</v>
      </c>
      <c r="G399" s="2"/>
      <c r="H399" s="12">
        <f t="shared" si="89"/>
        <v>0</v>
      </c>
      <c r="I399" s="2"/>
      <c r="J399" s="12">
        <f>ROUNDUP((6630),0)</f>
        <v>6630</v>
      </c>
      <c r="K399" s="2"/>
      <c r="L399" s="13">
        <f t="shared" si="90"/>
        <v>0</v>
      </c>
      <c r="M399" s="2"/>
      <c r="N399" s="12">
        <f t="shared" si="91"/>
        <v>0</v>
      </c>
      <c r="O399" s="2"/>
      <c r="P399" s="12">
        <v>6630</v>
      </c>
    </row>
    <row r="400" spans="1:17" x14ac:dyDescent="0.25">
      <c r="A400" t="s">
        <v>226</v>
      </c>
      <c r="B400" t="s">
        <v>11</v>
      </c>
      <c r="C400" t="s">
        <v>12</v>
      </c>
      <c r="D400" s="12">
        <f>ROUNDUP((4972.5),0)</f>
        <v>4973</v>
      </c>
      <c r="E400" s="2"/>
      <c r="F400" s="37">
        <f t="shared" si="88"/>
        <v>0</v>
      </c>
      <c r="G400" s="2"/>
      <c r="H400" s="12">
        <f t="shared" si="89"/>
        <v>0</v>
      </c>
      <c r="I400" s="2"/>
      <c r="J400" s="12">
        <v>4973</v>
      </c>
      <c r="K400" s="2"/>
      <c r="L400" s="13">
        <f t="shared" si="90"/>
        <v>0</v>
      </c>
      <c r="M400" s="2"/>
      <c r="N400" s="12">
        <f t="shared" si="91"/>
        <v>0</v>
      </c>
      <c r="O400" s="2"/>
      <c r="P400" s="12">
        <v>4973</v>
      </c>
    </row>
    <row r="401" spans="1:17" x14ac:dyDescent="0.25">
      <c r="A401" t="s">
        <v>226</v>
      </c>
      <c r="B401" t="s">
        <v>227</v>
      </c>
      <c r="C401" t="s">
        <v>228</v>
      </c>
      <c r="D401" s="12">
        <v>312000</v>
      </c>
      <c r="E401" s="2"/>
      <c r="F401" s="37">
        <f t="shared" si="88"/>
        <v>0</v>
      </c>
      <c r="G401" s="2"/>
      <c r="H401" s="12">
        <f t="shared" si="89"/>
        <v>0</v>
      </c>
      <c r="I401" s="2"/>
      <c r="J401" s="12">
        <v>312000</v>
      </c>
      <c r="K401" s="2"/>
      <c r="L401" s="13">
        <f t="shared" si="90"/>
        <v>0.62205158331990285</v>
      </c>
      <c r="M401" s="2"/>
      <c r="N401" s="12">
        <f t="shared" si="91"/>
        <v>119651</v>
      </c>
      <c r="O401" s="2"/>
      <c r="P401" s="12">
        <v>192349</v>
      </c>
      <c r="Q401" t="s">
        <v>385</v>
      </c>
    </row>
    <row r="402" spans="1:17" x14ac:dyDescent="0.25">
      <c r="A402" t="s">
        <v>226</v>
      </c>
      <c r="B402" t="s">
        <v>169</v>
      </c>
      <c r="C402" t="s">
        <v>170</v>
      </c>
      <c r="D402" s="12">
        <v>55000</v>
      </c>
      <c r="E402" s="2"/>
      <c r="F402" s="37">
        <f t="shared" si="88"/>
        <v>0</v>
      </c>
      <c r="G402" s="2"/>
      <c r="H402" s="12">
        <f t="shared" si="89"/>
        <v>0</v>
      </c>
      <c r="I402" s="2"/>
      <c r="J402" s="12">
        <v>55000</v>
      </c>
      <c r="K402" s="2"/>
      <c r="L402" s="13">
        <f t="shared" si="90"/>
        <v>0.5714285714285714</v>
      </c>
      <c r="M402" s="2"/>
      <c r="N402" s="12">
        <f t="shared" si="91"/>
        <v>20000</v>
      </c>
      <c r="O402" s="2"/>
      <c r="P402" s="12">
        <v>35000</v>
      </c>
    </row>
    <row r="403" spans="1:17" x14ac:dyDescent="0.25">
      <c r="A403" t="s">
        <v>226</v>
      </c>
      <c r="B403" t="s">
        <v>51</v>
      </c>
      <c r="C403" t="s">
        <v>52</v>
      </c>
      <c r="D403" s="12">
        <v>50000</v>
      </c>
      <c r="E403" s="2"/>
      <c r="F403" s="37">
        <f t="shared" si="88"/>
        <v>0</v>
      </c>
      <c r="G403" s="2"/>
      <c r="H403" s="12">
        <f t="shared" si="89"/>
        <v>0</v>
      </c>
      <c r="I403" s="2"/>
      <c r="J403" s="12">
        <v>50000</v>
      </c>
      <c r="K403" s="2"/>
      <c r="L403" s="13">
        <f t="shared" si="90"/>
        <v>0</v>
      </c>
      <c r="M403" s="2"/>
      <c r="N403" s="12">
        <f t="shared" si="91"/>
        <v>0</v>
      </c>
      <c r="O403" s="2"/>
      <c r="P403" s="12">
        <v>50000</v>
      </c>
    </row>
    <row r="404" spans="1:17" x14ac:dyDescent="0.25">
      <c r="D404" s="2"/>
      <c r="E404" s="2"/>
      <c r="F404" s="2"/>
      <c r="G404" s="2"/>
      <c r="H404" s="2"/>
      <c r="I404" s="2"/>
      <c r="J404" s="2"/>
      <c r="K404" s="2"/>
      <c r="M404" s="2"/>
      <c r="O404" s="2"/>
    </row>
    <row r="405" spans="1:17" x14ac:dyDescent="0.25">
      <c r="A405" t="s">
        <v>5</v>
      </c>
      <c r="B405" t="s">
        <v>5</v>
      </c>
      <c r="C405" s="1" t="s">
        <v>383</v>
      </c>
      <c r="D405" s="8">
        <f>SUM(D397:D403)</f>
        <v>499039</v>
      </c>
      <c r="E405" s="2"/>
      <c r="F405" s="15">
        <f>H405/J405</f>
        <v>0</v>
      </c>
      <c r="G405" s="2"/>
      <c r="H405" s="8">
        <f>SUM(H397:H403)</f>
        <v>0</v>
      </c>
      <c r="I405" s="2"/>
      <c r="J405" s="8">
        <f>SUM(J397:J403)</f>
        <v>499039</v>
      </c>
      <c r="K405" s="2"/>
      <c r="L405" s="15">
        <f>N405/P405</f>
        <v>0.40363623067338333</v>
      </c>
      <c r="M405" s="2"/>
      <c r="N405" s="8">
        <f>SUM(N397:N403)</f>
        <v>143506</v>
      </c>
      <c r="O405" s="2"/>
      <c r="P405" s="8">
        <f>SUM(P397:P403)</f>
        <v>355533</v>
      </c>
    </row>
    <row r="406" spans="1:17" x14ac:dyDescent="0.25">
      <c r="D406" s="2"/>
      <c r="E406" s="2"/>
      <c r="F406" s="2"/>
      <c r="G406" s="2"/>
      <c r="H406" s="2"/>
      <c r="I406" s="2"/>
      <c r="J406" s="2"/>
      <c r="K406" s="2"/>
      <c r="M406" s="2"/>
      <c r="O406" s="2"/>
    </row>
    <row r="407" spans="1:17" x14ac:dyDescent="0.25">
      <c r="A407" t="s">
        <v>229</v>
      </c>
      <c r="B407" t="s">
        <v>30</v>
      </c>
      <c r="C407" t="s">
        <v>31</v>
      </c>
      <c r="D407" s="47">
        <f>ROUNDUP((225997.93),0)</f>
        <v>225998</v>
      </c>
      <c r="E407" s="2"/>
      <c r="F407" s="37">
        <f t="shared" ref="F407:F436" si="92">H407/J407</f>
        <v>0.25005807843354166</v>
      </c>
      <c r="G407" s="2"/>
      <c r="H407" s="12">
        <f t="shared" ref="H407:H436" si="93">D407-J407</f>
        <v>45208</v>
      </c>
      <c r="I407" s="2"/>
      <c r="J407" s="16">
        <f>ROUNDUP((180789.13),0)</f>
        <v>180790</v>
      </c>
      <c r="K407" s="2"/>
      <c r="L407" s="13">
        <f t="shared" ref="L407:L435" si="94">N407/P407</f>
        <v>-0.15168663222549117</v>
      </c>
      <c r="M407" s="2"/>
      <c r="N407" s="12">
        <f t="shared" ref="N407:N436" si="95">J407-P407</f>
        <v>-32327</v>
      </c>
      <c r="O407" s="2"/>
      <c r="P407" s="12">
        <v>213117</v>
      </c>
    </row>
    <row r="408" spans="1:17" x14ac:dyDescent="0.25">
      <c r="A408" t="s">
        <v>229</v>
      </c>
      <c r="B408" t="s">
        <v>141</v>
      </c>
      <c r="C408" t="s">
        <v>230</v>
      </c>
      <c r="D408" s="47">
        <v>5600</v>
      </c>
      <c r="E408" s="2"/>
      <c r="F408" s="37">
        <f t="shared" si="92"/>
        <v>0</v>
      </c>
      <c r="G408" s="2"/>
      <c r="H408" s="12">
        <f t="shared" si="93"/>
        <v>0</v>
      </c>
      <c r="I408" s="2"/>
      <c r="J408" s="16">
        <v>5600</v>
      </c>
      <c r="K408" s="2"/>
      <c r="L408" s="13">
        <f t="shared" si="94"/>
        <v>0</v>
      </c>
      <c r="M408" s="2"/>
      <c r="N408" s="12">
        <f t="shared" si="95"/>
        <v>0</v>
      </c>
      <c r="O408" s="2"/>
      <c r="P408" s="12">
        <v>5600</v>
      </c>
    </row>
    <row r="409" spans="1:17" x14ac:dyDescent="0.25">
      <c r="A409" t="s">
        <v>229</v>
      </c>
      <c r="B409" t="s">
        <v>61</v>
      </c>
      <c r="C409" t="s">
        <v>62</v>
      </c>
      <c r="D409" s="47">
        <v>0</v>
      </c>
      <c r="E409" s="2"/>
      <c r="F409" s="37">
        <v>0</v>
      </c>
      <c r="G409" s="2"/>
      <c r="H409" s="12">
        <f t="shared" si="93"/>
        <v>0</v>
      </c>
      <c r="I409" s="2"/>
      <c r="J409" s="16">
        <v>0</v>
      </c>
      <c r="K409" s="2"/>
      <c r="L409" s="13">
        <v>0</v>
      </c>
      <c r="M409" s="2"/>
      <c r="N409" s="12">
        <f t="shared" si="95"/>
        <v>0</v>
      </c>
      <c r="O409" s="2"/>
      <c r="P409" s="12">
        <v>0</v>
      </c>
    </row>
    <row r="410" spans="1:17" x14ac:dyDescent="0.25">
      <c r="A410" t="s">
        <v>229</v>
      </c>
      <c r="B410" t="s">
        <v>34</v>
      </c>
      <c r="C410" t="s">
        <v>35</v>
      </c>
      <c r="D410" s="47">
        <f>ROUNDUP((411.6),0)</f>
        <v>412</v>
      </c>
      <c r="E410" s="2"/>
      <c r="F410" s="37">
        <f t="shared" si="92"/>
        <v>0.16713881019830029</v>
      </c>
      <c r="G410" s="2"/>
      <c r="H410" s="12">
        <f t="shared" si="93"/>
        <v>59</v>
      </c>
      <c r="I410" s="2"/>
      <c r="J410" s="16">
        <f>ROUNDUP((352.8),0)</f>
        <v>353</v>
      </c>
      <c r="K410" s="2"/>
      <c r="L410" s="13">
        <f t="shared" si="94"/>
        <v>-0.26458333333333334</v>
      </c>
      <c r="M410" s="2"/>
      <c r="N410" s="12">
        <f t="shared" si="95"/>
        <v>-127</v>
      </c>
      <c r="O410" s="2"/>
      <c r="P410" s="12">
        <v>480</v>
      </c>
    </row>
    <row r="411" spans="1:17" x14ac:dyDescent="0.25">
      <c r="A411" t="s">
        <v>229</v>
      </c>
      <c r="B411" t="s">
        <v>9</v>
      </c>
      <c r="C411" t="s">
        <v>10</v>
      </c>
      <c r="D411" s="47">
        <f>ROUNDUP((12317.57),0)</f>
        <v>12318</v>
      </c>
      <c r="E411" s="2"/>
      <c r="F411" s="37">
        <f t="shared" si="92"/>
        <v>0.25005074081591233</v>
      </c>
      <c r="G411" s="2"/>
      <c r="H411" s="12">
        <f t="shared" si="93"/>
        <v>2464</v>
      </c>
      <c r="I411" s="2"/>
      <c r="J411" s="16">
        <f>ROUNDUP((9853.55),0)</f>
        <v>9854</v>
      </c>
      <c r="K411" s="2"/>
      <c r="L411" s="13">
        <f t="shared" si="94"/>
        <v>0.38671545173093158</v>
      </c>
      <c r="M411" s="2"/>
      <c r="N411" s="12">
        <f t="shared" si="95"/>
        <v>2748</v>
      </c>
      <c r="O411" s="2"/>
      <c r="P411" s="12">
        <v>7106</v>
      </c>
    </row>
    <row r="412" spans="1:17" x14ac:dyDescent="0.25">
      <c r="A412" t="s">
        <v>229</v>
      </c>
      <c r="B412" t="s">
        <v>36</v>
      </c>
      <c r="C412" t="s">
        <v>37</v>
      </c>
      <c r="D412" s="47">
        <f>ROUNDUP((23051.79),0)</f>
        <v>23052</v>
      </c>
      <c r="E412" s="2"/>
      <c r="F412" s="37">
        <f t="shared" si="92"/>
        <v>0.2500406702456483</v>
      </c>
      <c r="G412" s="2"/>
      <c r="H412" s="12">
        <f t="shared" si="93"/>
        <v>4611</v>
      </c>
      <c r="I412" s="2"/>
      <c r="J412" s="16">
        <f>ROUNDUP((18440.49),0)</f>
        <v>18441</v>
      </c>
      <c r="K412" s="2"/>
      <c r="L412" s="13">
        <f t="shared" si="94"/>
        <v>-0.15166988683411536</v>
      </c>
      <c r="M412" s="2"/>
      <c r="N412" s="12">
        <f t="shared" si="95"/>
        <v>-3297</v>
      </c>
      <c r="O412" s="2"/>
      <c r="P412" s="12">
        <v>21738</v>
      </c>
    </row>
    <row r="413" spans="1:17" x14ac:dyDescent="0.25">
      <c r="A413" t="s">
        <v>229</v>
      </c>
      <c r="B413" t="s">
        <v>38</v>
      </c>
      <c r="C413" t="s">
        <v>39</v>
      </c>
      <c r="D413" s="47">
        <f>ROUNDUP((57032.15),0)</f>
        <v>57033</v>
      </c>
      <c r="E413" s="2"/>
      <c r="F413" s="37">
        <f t="shared" si="92"/>
        <v>0.81819051262433051</v>
      </c>
      <c r="G413" s="2"/>
      <c r="H413" s="12">
        <f t="shared" si="93"/>
        <v>25665</v>
      </c>
      <c r="I413" s="2"/>
      <c r="J413" s="16">
        <f>ROUNDUP((31367.16),0)</f>
        <v>31368</v>
      </c>
      <c r="K413" s="2"/>
      <c r="L413" s="13">
        <f t="shared" si="94"/>
        <v>-0.38017704710717676</v>
      </c>
      <c r="M413" s="2"/>
      <c r="N413" s="12">
        <f t="shared" si="95"/>
        <v>-19240</v>
      </c>
      <c r="O413" s="2"/>
      <c r="P413" s="12">
        <v>50608</v>
      </c>
    </row>
    <row r="414" spans="1:17" x14ac:dyDescent="0.25">
      <c r="A414" t="s">
        <v>229</v>
      </c>
      <c r="B414" t="s">
        <v>11</v>
      </c>
      <c r="C414" t="s">
        <v>12</v>
      </c>
      <c r="D414" s="47">
        <f>ROUNDUP((17717.24),0)</f>
        <v>17718</v>
      </c>
      <c r="E414" s="2"/>
      <c r="F414" s="37">
        <f t="shared" si="92"/>
        <v>0.2425836313907006</v>
      </c>
      <c r="G414" s="2"/>
      <c r="H414" s="12">
        <f t="shared" si="93"/>
        <v>3459</v>
      </c>
      <c r="I414" s="2"/>
      <c r="J414" s="16">
        <f>ROUNDUP((14258.77),0)</f>
        <v>14259</v>
      </c>
      <c r="K414" s="2"/>
      <c r="L414" s="13">
        <f t="shared" si="94"/>
        <v>-0.14780062156347118</v>
      </c>
      <c r="M414" s="2"/>
      <c r="N414" s="12">
        <f t="shared" si="95"/>
        <v>-2473</v>
      </c>
      <c r="O414" s="2"/>
      <c r="P414" s="12">
        <v>16732</v>
      </c>
    </row>
    <row r="415" spans="1:17" x14ac:dyDescent="0.25">
      <c r="A415" t="s">
        <v>229</v>
      </c>
      <c r="B415" t="s">
        <v>192</v>
      </c>
      <c r="C415" t="s">
        <v>193</v>
      </c>
      <c r="D415" s="47">
        <v>750</v>
      </c>
      <c r="E415" s="2"/>
      <c r="F415" s="37">
        <f t="shared" si="92"/>
        <v>0</v>
      </c>
      <c r="G415" s="2"/>
      <c r="H415" s="12">
        <f t="shared" si="93"/>
        <v>0</v>
      </c>
      <c r="I415" s="2"/>
      <c r="J415" s="16">
        <v>750</v>
      </c>
      <c r="K415" s="2"/>
      <c r="L415" s="13">
        <f t="shared" si="94"/>
        <v>0.5</v>
      </c>
      <c r="M415" s="2"/>
      <c r="N415" s="12">
        <f t="shared" si="95"/>
        <v>250</v>
      </c>
      <c r="O415" s="2"/>
      <c r="P415" s="12">
        <v>500</v>
      </c>
    </row>
    <row r="416" spans="1:17" x14ac:dyDescent="0.25">
      <c r="A416" t="s">
        <v>229</v>
      </c>
      <c r="B416" t="s">
        <v>13</v>
      </c>
      <c r="C416" t="s">
        <v>14</v>
      </c>
      <c r="D416" s="47">
        <v>500</v>
      </c>
      <c r="E416" s="2"/>
      <c r="F416" s="37">
        <f t="shared" si="92"/>
        <v>0</v>
      </c>
      <c r="G416" s="2"/>
      <c r="H416" s="12">
        <f t="shared" si="93"/>
        <v>0</v>
      </c>
      <c r="I416" s="2"/>
      <c r="J416" s="16">
        <v>500</v>
      </c>
      <c r="K416" s="2"/>
      <c r="L416" s="13">
        <f t="shared" si="94"/>
        <v>0</v>
      </c>
      <c r="M416" s="2"/>
      <c r="N416" s="12">
        <f t="shared" si="95"/>
        <v>0</v>
      </c>
      <c r="O416" s="2"/>
      <c r="P416" s="12">
        <v>500</v>
      </c>
    </row>
    <row r="417" spans="1:16" x14ac:dyDescent="0.25">
      <c r="A417" t="s">
        <v>229</v>
      </c>
      <c r="B417" t="s">
        <v>15</v>
      </c>
      <c r="C417" t="s">
        <v>16</v>
      </c>
      <c r="D417" s="47">
        <v>6000</v>
      </c>
      <c r="E417" s="2"/>
      <c r="F417" s="37">
        <f t="shared" si="92"/>
        <v>0</v>
      </c>
      <c r="G417" s="2"/>
      <c r="H417" s="12">
        <f t="shared" si="93"/>
        <v>0</v>
      </c>
      <c r="I417" s="2"/>
      <c r="J417" s="16">
        <v>6000</v>
      </c>
      <c r="K417" s="2"/>
      <c r="L417" s="13">
        <f t="shared" si="94"/>
        <v>0</v>
      </c>
      <c r="M417" s="2"/>
      <c r="N417" s="12">
        <f t="shared" si="95"/>
        <v>0</v>
      </c>
      <c r="O417" s="2"/>
      <c r="P417" s="12">
        <v>6000</v>
      </c>
    </row>
    <row r="418" spans="1:16" x14ac:dyDescent="0.25">
      <c r="A418" t="s">
        <v>229</v>
      </c>
      <c r="B418" t="s">
        <v>19</v>
      </c>
      <c r="C418" t="s">
        <v>20</v>
      </c>
      <c r="D418" s="47">
        <v>80</v>
      </c>
      <c r="E418" s="2"/>
      <c r="F418" s="37">
        <f t="shared" si="92"/>
        <v>0</v>
      </c>
      <c r="G418" s="2"/>
      <c r="H418" s="12">
        <f t="shared" si="93"/>
        <v>0</v>
      </c>
      <c r="I418" s="2"/>
      <c r="J418" s="16">
        <v>80</v>
      </c>
      <c r="K418" s="2"/>
      <c r="L418" s="13">
        <f t="shared" si="94"/>
        <v>0</v>
      </c>
      <c r="M418" s="2"/>
      <c r="N418" s="12">
        <f t="shared" si="95"/>
        <v>0</v>
      </c>
      <c r="O418" s="2"/>
      <c r="P418" s="12">
        <v>80</v>
      </c>
    </row>
    <row r="419" spans="1:16" x14ac:dyDescent="0.25">
      <c r="A419" t="s">
        <v>229</v>
      </c>
      <c r="B419" t="s">
        <v>21</v>
      </c>
      <c r="C419" t="s">
        <v>22</v>
      </c>
      <c r="D419" s="47">
        <v>100</v>
      </c>
      <c r="E419" s="2"/>
      <c r="F419" s="37">
        <f t="shared" si="92"/>
        <v>0</v>
      </c>
      <c r="G419" s="2"/>
      <c r="H419" s="12">
        <f t="shared" si="93"/>
        <v>0</v>
      </c>
      <c r="I419" s="2"/>
      <c r="J419" s="16">
        <v>100</v>
      </c>
      <c r="K419" s="2"/>
      <c r="L419" s="13">
        <f t="shared" si="94"/>
        <v>0</v>
      </c>
      <c r="M419" s="2"/>
      <c r="N419" s="12">
        <f t="shared" si="95"/>
        <v>0</v>
      </c>
      <c r="O419" s="2"/>
      <c r="P419" s="12">
        <v>100</v>
      </c>
    </row>
    <row r="420" spans="1:16" x14ac:dyDescent="0.25">
      <c r="A420" t="s">
        <v>229</v>
      </c>
      <c r="B420" t="s">
        <v>63</v>
      </c>
      <c r="C420" t="s">
        <v>64</v>
      </c>
      <c r="D420" s="47">
        <v>1500</v>
      </c>
      <c r="E420" s="2"/>
      <c r="F420" s="37">
        <f t="shared" si="92"/>
        <v>0</v>
      </c>
      <c r="G420" s="2"/>
      <c r="H420" s="12">
        <f t="shared" si="93"/>
        <v>0</v>
      </c>
      <c r="I420" s="2"/>
      <c r="J420" s="16">
        <v>1500</v>
      </c>
      <c r="K420" s="2"/>
      <c r="L420" s="13">
        <f t="shared" si="94"/>
        <v>0</v>
      </c>
      <c r="M420" s="2"/>
      <c r="N420" s="12">
        <f t="shared" si="95"/>
        <v>0</v>
      </c>
      <c r="O420" s="2"/>
      <c r="P420" s="12">
        <v>1500</v>
      </c>
    </row>
    <row r="421" spans="1:16" x14ac:dyDescent="0.25">
      <c r="A421" t="s">
        <v>229</v>
      </c>
      <c r="B421" t="s">
        <v>194</v>
      </c>
      <c r="C421" t="s">
        <v>195</v>
      </c>
      <c r="D421" s="47">
        <v>350</v>
      </c>
      <c r="E421" s="2"/>
      <c r="F421" s="37">
        <f t="shared" si="92"/>
        <v>0</v>
      </c>
      <c r="G421" s="2"/>
      <c r="H421" s="12">
        <f t="shared" si="93"/>
        <v>0</v>
      </c>
      <c r="I421" s="2"/>
      <c r="J421" s="16">
        <v>350</v>
      </c>
      <c r="K421" s="2"/>
      <c r="L421" s="13">
        <f t="shared" si="94"/>
        <v>0</v>
      </c>
      <c r="M421" s="2"/>
      <c r="N421" s="12">
        <f t="shared" si="95"/>
        <v>0</v>
      </c>
      <c r="O421" s="2"/>
      <c r="P421" s="12">
        <v>350</v>
      </c>
    </row>
    <row r="422" spans="1:16" x14ac:dyDescent="0.25">
      <c r="A422" t="s">
        <v>229</v>
      </c>
      <c r="B422" t="s">
        <v>153</v>
      </c>
      <c r="C422" t="s">
        <v>154</v>
      </c>
      <c r="D422" s="47">
        <v>3500</v>
      </c>
      <c r="E422" s="2"/>
      <c r="F422" s="37">
        <f t="shared" si="92"/>
        <v>0</v>
      </c>
      <c r="G422" s="2"/>
      <c r="H422" s="12">
        <f t="shared" si="93"/>
        <v>0</v>
      </c>
      <c r="I422" s="2"/>
      <c r="J422" s="16">
        <v>3500</v>
      </c>
      <c r="K422" s="2"/>
      <c r="L422" s="13">
        <f t="shared" si="94"/>
        <v>0</v>
      </c>
      <c r="M422" s="2"/>
      <c r="N422" s="12">
        <f t="shared" si="95"/>
        <v>0</v>
      </c>
      <c r="O422" s="2"/>
      <c r="P422" s="12">
        <v>3500</v>
      </c>
    </row>
    <row r="423" spans="1:16" x14ac:dyDescent="0.25">
      <c r="A423" t="s">
        <v>229</v>
      </c>
      <c r="B423" t="s">
        <v>40</v>
      </c>
      <c r="C423" t="s">
        <v>137</v>
      </c>
      <c r="D423" s="47">
        <v>420</v>
      </c>
      <c r="E423" s="2"/>
      <c r="F423" s="37">
        <f t="shared" si="92"/>
        <v>0</v>
      </c>
      <c r="G423" s="2"/>
      <c r="H423" s="12">
        <f t="shared" si="93"/>
        <v>0</v>
      </c>
      <c r="I423" s="2"/>
      <c r="J423" s="16">
        <v>420</v>
      </c>
      <c r="K423" s="2"/>
      <c r="L423" s="13">
        <f t="shared" si="94"/>
        <v>0</v>
      </c>
      <c r="M423" s="2"/>
      <c r="N423" s="12">
        <f t="shared" si="95"/>
        <v>0</v>
      </c>
      <c r="O423" s="2"/>
      <c r="P423" s="12">
        <v>420</v>
      </c>
    </row>
    <row r="424" spans="1:16" x14ac:dyDescent="0.25">
      <c r="A424" t="s">
        <v>229</v>
      </c>
      <c r="B424" t="s">
        <v>231</v>
      </c>
      <c r="C424" t="s">
        <v>232</v>
      </c>
      <c r="D424" s="47">
        <v>5000</v>
      </c>
      <c r="E424" s="2"/>
      <c r="F424" s="37">
        <f t="shared" si="92"/>
        <v>0</v>
      </c>
      <c r="G424" s="2"/>
      <c r="H424" s="12">
        <f t="shared" si="93"/>
        <v>0</v>
      </c>
      <c r="I424" s="2"/>
      <c r="J424" s="16">
        <v>5000</v>
      </c>
      <c r="K424" s="2"/>
      <c r="L424" s="13">
        <f t="shared" si="94"/>
        <v>0</v>
      </c>
      <c r="M424" s="2"/>
      <c r="N424" s="12">
        <f t="shared" si="95"/>
        <v>0</v>
      </c>
      <c r="O424" s="2"/>
      <c r="P424" s="12">
        <v>5000</v>
      </c>
    </row>
    <row r="425" spans="1:16" x14ac:dyDescent="0.25">
      <c r="A425" t="s">
        <v>229</v>
      </c>
      <c r="B425" t="s">
        <v>169</v>
      </c>
      <c r="C425" t="s">
        <v>170</v>
      </c>
      <c r="D425" s="47">
        <v>10000</v>
      </c>
      <c r="E425" s="2"/>
      <c r="F425" s="37">
        <f t="shared" si="92"/>
        <v>0</v>
      </c>
      <c r="G425" s="2"/>
      <c r="H425" s="12">
        <f t="shared" si="93"/>
        <v>0</v>
      </c>
      <c r="I425" s="2"/>
      <c r="J425" s="16">
        <v>10000</v>
      </c>
      <c r="K425" s="2"/>
      <c r="L425" s="13">
        <f t="shared" si="94"/>
        <v>0</v>
      </c>
      <c r="M425" s="2"/>
      <c r="N425" s="12">
        <f t="shared" si="95"/>
        <v>0</v>
      </c>
      <c r="O425" s="2"/>
      <c r="P425" s="12">
        <v>10000</v>
      </c>
    </row>
    <row r="426" spans="1:16" x14ac:dyDescent="0.25">
      <c r="A426" t="s">
        <v>229</v>
      </c>
      <c r="B426" t="s">
        <v>157</v>
      </c>
      <c r="C426" t="s">
        <v>158</v>
      </c>
      <c r="D426" s="47">
        <v>6180</v>
      </c>
      <c r="E426" s="2"/>
      <c r="F426" s="37">
        <f t="shared" si="92"/>
        <v>0</v>
      </c>
      <c r="G426" s="2"/>
      <c r="H426" s="12">
        <f t="shared" si="93"/>
        <v>0</v>
      </c>
      <c r="I426" s="2"/>
      <c r="J426" s="16">
        <v>6180</v>
      </c>
      <c r="K426" s="2"/>
      <c r="L426" s="13">
        <f t="shared" si="94"/>
        <v>0</v>
      </c>
      <c r="M426" s="2"/>
      <c r="N426" s="12">
        <f t="shared" si="95"/>
        <v>0</v>
      </c>
      <c r="O426" s="2"/>
      <c r="P426" s="12">
        <v>6180</v>
      </c>
    </row>
    <row r="427" spans="1:16" x14ac:dyDescent="0.25">
      <c r="A427" t="s">
        <v>229</v>
      </c>
      <c r="B427" t="s">
        <v>159</v>
      </c>
      <c r="C427" t="s">
        <v>160</v>
      </c>
      <c r="D427" s="47">
        <v>5500</v>
      </c>
      <c r="E427" s="2"/>
      <c r="F427" s="37">
        <f t="shared" si="92"/>
        <v>0</v>
      </c>
      <c r="G427" s="2"/>
      <c r="H427" s="12">
        <f t="shared" si="93"/>
        <v>0</v>
      </c>
      <c r="I427" s="2"/>
      <c r="J427" s="16">
        <v>5500</v>
      </c>
      <c r="K427" s="2"/>
      <c r="L427" s="13">
        <f t="shared" si="94"/>
        <v>0.22222222222222221</v>
      </c>
      <c r="M427" s="2"/>
      <c r="N427" s="12">
        <f t="shared" si="95"/>
        <v>1000</v>
      </c>
      <c r="O427" s="2"/>
      <c r="P427" s="12">
        <v>4500</v>
      </c>
    </row>
    <row r="428" spans="1:16" x14ac:dyDescent="0.25">
      <c r="A428" t="s">
        <v>229</v>
      </c>
      <c r="B428" t="s">
        <v>23</v>
      </c>
      <c r="C428" t="s">
        <v>24</v>
      </c>
      <c r="D428" s="47">
        <v>250</v>
      </c>
      <c r="E428" s="2"/>
      <c r="F428" s="37">
        <f t="shared" si="92"/>
        <v>0</v>
      </c>
      <c r="G428" s="2"/>
      <c r="H428" s="12">
        <f t="shared" si="93"/>
        <v>0</v>
      </c>
      <c r="I428" s="2"/>
      <c r="J428" s="16">
        <v>250</v>
      </c>
      <c r="K428" s="2"/>
      <c r="L428" s="13">
        <f t="shared" si="94"/>
        <v>0</v>
      </c>
      <c r="M428" s="2"/>
      <c r="N428" s="12">
        <f t="shared" si="95"/>
        <v>0</v>
      </c>
      <c r="O428" s="2"/>
      <c r="P428" s="12">
        <v>250</v>
      </c>
    </row>
    <row r="429" spans="1:16" x14ac:dyDescent="0.25">
      <c r="A429" t="s">
        <v>229</v>
      </c>
      <c r="B429" t="s">
        <v>44</v>
      </c>
      <c r="C429" t="s">
        <v>45</v>
      </c>
      <c r="D429" s="47">
        <v>250</v>
      </c>
      <c r="E429" s="2"/>
      <c r="F429" s="37">
        <f t="shared" si="92"/>
        <v>0</v>
      </c>
      <c r="G429" s="2"/>
      <c r="H429" s="12">
        <f t="shared" si="93"/>
        <v>0</v>
      </c>
      <c r="I429" s="2"/>
      <c r="J429" s="16">
        <v>250</v>
      </c>
      <c r="K429" s="2"/>
      <c r="L429" s="13">
        <f t="shared" si="94"/>
        <v>0</v>
      </c>
      <c r="M429" s="2"/>
      <c r="N429" s="12">
        <f t="shared" si="95"/>
        <v>0</v>
      </c>
      <c r="O429" s="2"/>
      <c r="P429" s="12">
        <v>250</v>
      </c>
    </row>
    <row r="430" spans="1:16" x14ac:dyDescent="0.25">
      <c r="A430" t="s">
        <v>229</v>
      </c>
      <c r="B430" t="s">
        <v>206</v>
      </c>
      <c r="C430" t="s">
        <v>207</v>
      </c>
      <c r="D430" s="47">
        <v>1000</v>
      </c>
      <c r="E430" s="2"/>
      <c r="F430" s="37">
        <f t="shared" si="92"/>
        <v>0</v>
      </c>
      <c r="G430" s="2"/>
      <c r="H430" s="12">
        <f t="shared" si="93"/>
        <v>0</v>
      </c>
      <c r="I430" s="2"/>
      <c r="J430" s="16">
        <v>1000</v>
      </c>
      <c r="K430" s="2"/>
      <c r="L430" s="13">
        <f t="shared" si="94"/>
        <v>0.42857142857142855</v>
      </c>
      <c r="M430" s="2"/>
      <c r="N430" s="12">
        <f t="shared" si="95"/>
        <v>300</v>
      </c>
      <c r="O430" s="2"/>
      <c r="P430" s="12">
        <v>700</v>
      </c>
    </row>
    <row r="431" spans="1:16" x14ac:dyDescent="0.25">
      <c r="A431" t="s">
        <v>229</v>
      </c>
      <c r="B431" t="s">
        <v>121</v>
      </c>
      <c r="C431" t="s">
        <v>122</v>
      </c>
      <c r="D431" s="47">
        <v>2394</v>
      </c>
      <c r="E431" s="2"/>
      <c r="F431" s="37">
        <f t="shared" si="92"/>
        <v>0.14000000000000001</v>
      </c>
      <c r="G431" s="2"/>
      <c r="H431" s="12">
        <f t="shared" si="93"/>
        <v>294</v>
      </c>
      <c r="I431" s="2"/>
      <c r="J431" s="16">
        <v>2100</v>
      </c>
      <c r="K431" s="2"/>
      <c r="L431" s="13">
        <f t="shared" si="94"/>
        <v>0</v>
      </c>
      <c r="M431" s="2"/>
      <c r="N431" s="12">
        <f t="shared" si="95"/>
        <v>0</v>
      </c>
      <c r="O431" s="2"/>
      <c r="P431" s="12">
        <v>2100</v>
      </c>
    </row>
    <row r="432" spans="1:16" x14ac:dyDescent="0.25">
      <c r="A432" t="s">
        <v>229</v>
      </c>
      <c r="B432" t="s">
        <v>123</v>
      </c>
      <c r="C432" t="s">
        <v>124</v>
      </c>
      <c r="D432" s="47">
        <v>1512</v>
      </c>
      <c r="E432" s="2"/>
      <c r="F432" s="37">
        <f t="shared" si="92"/>
        <v>0</v>
      </c>
      <c r="G432" s="2"/>
      <c r="H432" s="12">
        <f t="shared" si="93"/>
        <v>0</v>
      </c>
      <c r="I432" s="2"/>
      <c r="J432" s="16">
        <v>1512</v>
      </c>
      <c r="K432" s="2"/>
      <c r="L432" s="13">
        <f t="shared" si="94"/>
        <v>0</v>
      </c>
      <c r="M432" s="2"/>
      <c r="N432" s="12">
        <f t="shared" si="95"/>
        <v>0</v>
      </c>
      <c r="O432" s="2"/>
      <c r="P432" s="12">
        <v>1512</v>
      </c>
    </row>
    <row r="433" spans="1:17" x14ac:dyDescent="0.25">
      <c r="A433" t="s">
        <v>229</v>
      </c>
      <c r="B433" t="s">
        <v>125</v>
      </c>
      <c r="C433" t="s">
        <v>126</v>
      </c>
      <c r="D433" s="47">
        <v>568</v>
      </c>
      <c r="E433" s="2"/>
      <c r="F433" s="37">
        <f t="shared" si="92"/>
        <v>4.0293040293040296E-2</v>
      </c>
      <c r="G433" s="2"/>
      <c r="H433" s="12">
        <f t="shared" si="93"/>
        <v>22</v>
      </c>
      <c r="I433" s="2"/>
      <c r="J433" s="16">
        <v>546</v>
      </c>
      <c r="K433" s="2"/>
      <c r="L433" s="13">
        <f t="shared" si="94"/>
        <v>0</v>
      </c>
      <c r="M433" s="2"/>
      <c r="N433" s="12">
        <f t="shared" si="95"/>
        <v>0</v>
      </c>
      <c r="O433" s="2"/>
      <c r="P433" s="12">
        <v>546</v>
      </c>
    </row>
    <row r="434" spans="1:17" x14ac:dyDescent="0.25">
      <c r="A434" t="s">
        <v>229</v>
      </c>
      <c r="B434" t="s">
        <v>69</v>
      </c>
      <c r="C434" t="s">
        <v>70</v>
      </c>
      <c r="D434" s="47">
        <v>5000</v>
      </c>
      <c r="E434" s="2"/>
      <c r="F434" s="37">
        <f t="shared" si="92"/>
        <v>0</v>
      </c>
      <c r="G434" s="2"/>
      <c r="H434" s="12">
        <f t="shared" si="93"/>
        <v>0</v>
      </c>
      <c r="I434" s="2"/>
      <c r="J434" s="16">
        <v>5000</v>
      </c>
      <c r="K434" s="2"/>
      <c r="L434" s="13">
        <f t="shared" si="94"/>
        <v>0</v>
      </c>
      <c r="M434" s="2"/>
      <c r="N434" s="12">
        <f t="shared" si="95"/>
        <v>0</v>
      </c>
      <c r="O434" s="2"/>
      <c r="P434" s="12">
        <v>5000</v>
      </c>
    </row>
    <row r="435" spans="1:17" x14ac:dyDescent="0.25">
      <c r="A435" t="s">
        <v>229</v>
      </c>
      <c r="B435" t="s">
        <v>233</v>
      </c>
      <c r="C435" t="s">
        <v>234</v>
      </c>
      <c r="D435" s="47">
        <v>300000</v>
      </c>
      <c r="E435" s="2"/>
      <c r="F435" s="37">
        <f t="shared" si="92"/>
        <v>0</v>
      </c>
      <c r="G435" s="2"/>
      <c r="H435" s="12">
        <f t="shared" si="93"/>
        <v>0</v>
      </c>
      <c r="I435" s="2"/>
      <c r="J435" s="16">
        <v>300000</v>
      </c>
      <c r="K435" s="2"/>
      <c r="L435" s="13">
        <f t="shared" si="94"/>
        <v>0</v>
      </c>
      <c r="M435" s="2"/>
      <c r="N435" s="12">
        <f t="shared" si="95"/>
        <v>0</v>
      </c>
      <c r="O435" s="2"/>
      <c r="P435" s="12">
        <v>300000</v>
      </c>
    </row>
    <row r="436" spans="1:17" x14ac:dyDescent="0.25">
      <c r="A436" t="s">
        <v>229</v>
      </c>
      <c r="B436" t="s">
        <v>165</v>
      </c>
      <c r="C436" t="s">
        <v>166</v>
      </c>
      <c r="D436" s="47">
        <v>0</v>
      </c>
      <c r="E436" s="2"/>
      <c r="F436" s="37">
        <f t="shared" si="92"/>
        <v>-1</v>
      </c>
      <c r="G436" s="2"/>
      <c r="H436" s="12">
        <f t="shared" si="93"/>
        <v>-110000</v>
      </c>
      <c r="I436" s="2"/>
      <c r="J436" s="16">
        <v>110000</v>
      </c>
      <c r="K436" s="2"/>
      <c r="L436" s="13">
        <f>N436/P436</f>
        <v>43</v>
      </c>
      <c r="M436" s="2"/>
      <c r="N436" s="12">
        <f t="shared" si="95"/>
        <v>107500</v>
      </c>
      <c r="O436" s="2"/>
      <c r="P436" s="12">
        <v>2500</v>
      </c>
      <c r="Q436" t="s">
        <v>408</v>
      </c>
    </row>
    <row r="437" spans="1:17" x14ac:dyDescent="0.25">
      <c r="D437" s="2"/>
      <c r="E437" s="2"/>
      <c r="F437" s="2"/>
      <c r="G437" s="2"/>
      <c r="H437" s="2"/>
      <c r="I437" s="2"/>
      <c r="J437" s="2"/>
      <c r="K437" s="2"/>
      <c r="M437" s="2"/>
      <c r="O437" s="2"/>
    </row>
    <row r="438" spans="1:17" x14ac:dyDescent="0.25">
      <c r="A438" t="s">
        <v>5</v>
      </c>
      <c r="B438" t="s">
        <v>5</v>
      </c>
      <c r="C438" s="1" t="s">
        <v>382</v>
      </c>
      <c r="D438" s="8">
        <f>SUM(D407:D436)</f>
        <v>692985</v>
      </c>
      <c r="E438" s="2"/>
      <c r="F438" s="15">
        <f>H438/J438</f>
        <v>-3.9126293151858768E-2</v>
      </c>
      <c r="G438" s="2"/>
      <c r="H438" s="8">
        <f>SUM(H407:H436)</f>
        <v>-28218</v>
      </c>
      <c r="I438" s="2"/>
      <c r="J438" s="8">
        <f>SUM(J407:J436)</f>
        <v>721203</v>
      </c>
      <c r="K438" s="2"/>
      <c r="L438" s="15">
        <f>N438/P438</f>
        <v>8.1476271951462731E-2</v>
      </c>
      <c r="M438" s="2"/>
      <c r="N438" s="8">
        <f>SUM(N407:N436)</f>
        <v>54334</v>
      </c>
      <c r="O438" s="2"/>
      <c r="P438" s="8">
        <f>SUM(P407:P436)</f>
        <v>666869</v>
      </c>
    </row>
    <row r="439" spans="1:17" x14ac:dyDescent="0.25">
      <c r="D439" s="2"/>
      <c r="E439" s="2"/>
      <c r="F439" s="2"/>
      <c r="G439" s="2"/>
      <c r="H439" s="2"/>
      <c r="I439" s="2"/>
      <c r="J439" s="2"/>
      <c r="K439" s="2"/>
      <c r="M439" s="2"/>
      <c r="O439" s="2"/>
    </row>
    <row r="440" spans="1:17" x14ac:dyDescent="0.25">
      <c r="A440" t="s">
        <v>235</v>
      </c>
      <c r="B440" t="s">
        <v>119</v>
      </c>
      <c r="C440" t="s">
        <v>120</v>
      </c>
      <c r="D440" s="12">
        <v>78000</v>
      </c>
      <c r="E440" s="2"/>
      <c r="F440" s="37">
        <f t="shared" ref="F440:F442" si="96">H440/J440</f>
        <v>0</v>
      </c>
      <c r="G440" s="2"/>
      <c r="H440" s="12">
        <f t="shared" ref="H440:H442" si="97">D440-J440</f>
        <v>0</v>
      </c>
      <c r="I440" s="2"/>
      <c r="J440" s="12">
        <v>78000</v>
      </c>
      <c r="K440" s="2"/>
      <c r="L440" s="13">
        <f>N440/P440</f>
        <v>0</v>
      </c>
      <c r="M440" s="2"/>
      <c r="N440" s="12">
        <f t="shared" ref="N440:N442" si="98">J440-P440</f>
        <v>0</v>
      </c>
      <c r="O440" s="2"/>
      <c r="P440" s="12">
        <v>78000</v>
      </c>
    </row>
    <row r="441" spans="1:17" x14ac:dyDescent="0.25">
      <c r="A441" t="s">
        <v>235</v>
      </c>
      <c r="B441" t="s">
        <v>236</v>
      </c>
      <c r="C441" t="s">
        <v>237</v>
      </c>
      <c r="D441" s="12">
        <v>549500</v>
      </c>
      <c r="E441" s="2"/>
      <c r="F441" s="37">
        <f t="shared" si="96"/>
        <v>0</v>
      </c>
      <c r="G441" s="2"/>
      <c r="H441" s="12">
        <f t="shared" si="97"/>
        <v>0</v>
      </c>
      <c r="I441" s="2"/>
      <c r="J441" s="12">
        <v>549500</v>
      </c>
      <c r="K441" s="2"/>
      <c r="L441" s="13">
        <f t="shared" ref="L441:L442" si="99">N441/P441</f>
        <v>0.14479166666666668</v>
      </c>
      <c r="M441" s="2"/>
      <c r="N441" s="12">
        <f t="shared" si="98"/>
        <v>69500</v>
      </c>
      <c r="O441" s="2"/>
      <c r="P441" s="12">
        <v>480000</v>
      </c>
    </row>
    <row r="442" spans="1:17" x14ac:dyDescent="0.25">
      <c r="A442" t="s">
        <v>235</v>
      </c>
      <c r="B442" t="s">
        <v>69</v>
      </c>
      <c r="C442" t="s">
        <v>70</v>
      </c>
      <c r="D442" s="12">
        <v>17000</v>
      </c>
      <c r="E442" s="2"/>
      <c r="F442" s="37">
        <f t="shared" si="96"/>
        <v>0</v>
      </c>
      <c r="G442" s="2"/>
      <c r="H442" s="12">
        <f t="shared" si="97"/>
        <v>0</v>
      </c>
      <c r="I442" s="2"/>
      <c r="J442" s="12">
        <v>17000</v>
      </c>
      <c r="K442" s="2"/>
      <c r="L442" s="13">
        <f t="shared" si="99"/>
        <v>0</v>
      </c>
      <c r="M442" s="2"/>
      <c r="N442" s="12">
        <f t="shared" si="98"/>
        <v>0</v>
      </c>
      <c r="O442" s="2"/>
      <c r="P442" s="12">
        <v>17000</v>
      </c>
    </row>
    <row r="443" spans="1:17" x14ac:dyDescent="0.25">
      <c r="D443" s="2"/>
      <c r="E443" s="2"/>
      <c r="F443" s="2"/>
      <c r="G443" s="2"/>
      <c r="H443" s="2"/>
      <c r="I443" s="2"/>
      <c r="J443" s="2"/>
      <c r="K443" s="2"/>
      <c r="M443" s="2"/>
      <c r="O443" s="2"/>
    </row>
    <row r="444" spans="1:17" x14ac:dyDescent="0.25">
      <c r="A444" t="s">
        <v>5</v>
      </c>
      <c r="B444" t="s">
        <v>5</v>
      </c>
      <c r="C444" s="1" t="s">
        <v>381</v>
      </c>
      <c r="D444" s="8">
        <f>SUM(D440:D442)</f>
        <v>644500</v>
      </c>
      <c r="E444" s="2"/>
      <c r="F444" s="15">
        <f>H444/J444</f>
        <v>0</v>
      </c>
      <c r="G444" s="2"/>
      <c r="H444" s="8">
        <f>SUM(H440:H442)</f>
        <v>0</v>
      </c>
      <c r="I444" s="2"/>
      <c r="J444" s="8">
        <f>SUM(J440:J442)</f>
        <v>644500</v>
      </c>
      <c r="K444" s="2"/>
      <c r="L444" s="15">
        <f>N444/P444</f>
        <v>0.1208695652173913</v>
      </c>
      <c r="M444" s="2"/>
      <c r="N444" s="8">
        <f>SUM(N440:N442)</f>
        <v>69500</v>
      </c>
      <c r="O444" s="2"/>
      <c r="P444" s="8">
        <f>SUM(P440:P442)</f>
        <v>575000</v>
      </c>
    </row>
    <row r="445" spans="1:17" x14ac:dyDescent="0.25">
      <c r="D445" s="2"/>
      <c r="E445" s="2"/>
      <c r="F445" s="2"/>
      <c r="G445" s="2"/>
      <c r="H445" s="2"/>
      <c r="I445" s="2"/>
      <c r="J445" s="2"/>
      <c r="K445" s="2"/>
      <c r="M445" s="2"/>
      <c r="O445" s="2"/>
    </row>
    <row r="446" spans="1:17" x14ac:dyDescent="0.25">
      <c r="A446" t="s">
        <v>238</v>
      </c>
      <c r="B446" t="s">
        <v>57</v>
      </c>
      <c r="C446" t="s">
        <v>58</v>
      </c>
      <c r="D446" s="12">
        <f>ROUNDUP((65852.8),0)</f>
        <v>65853</v>
      </c>
      <c r="E446" s="2"/>
      <c r="F446" s="37">
        <f t="shared" ref="F446:F464" si="100">H446/J446</f>
        <v>-0.17747495690839599</v>
      </c>
      <c r="G446" s="2"/>
      <c r="H446" s="12">
        <f t="shared" ref="H446:H464" si="101">D446-J446</f>
        <v>-14209</v>
      </c>
      <c r="I446" s="2"/>
      <c r="J446" s="12">
        <f>ROUNDUP((80061.49),0)</f>
        <v>80062</v>
      </c>
      <c r="K446" s="2"/>
      <c r="L446" s="13">
        <f t="shared" ref="L446:L464" si="102">N446/P446</f>
        <v>3.0001286504567092E-2</v>
      </c>
      <c r="M446" s="2"/>
      <c r="N446" s="12">
        <f t="shared" ref="N446:N464" si="103">J446-P446</f>
        <v>2332</v>
      </c>
      <c r="O446" s="2"/>
      <c r="P446" s="12">
        <v>77730</v>
      </c>
      <c r="Q446" t="s">
        <v>355</v>
      </c>
    </row>
    <row r="447" spans="1:17" x14ac:dyDescent="0.25">
      <c r="A447" t="s">
        <v>238</v>
      </c>
      <c r="B447" t="s">
        <v>30</v>
      </c>
      <c r="C447" t="s">
        <v>31</v>
      </c>
      <c r="D447" s="12">
        <f>ROUNDUP((183461.04),0)</f>
        <v>183462</v>
      </c>
      <c r="E447" s="2"/>
      <c r="F447" s="37">
        <f t="shared" si="100"/>
        <v>4.7541154340539342E-2</v>
      </c>
      <c r="G447" s="2"/>
      <c r="H447" s="12">
        <f t="shared" si="101"/>
        <v>8326.1600000000035</v>
      </c>
      <c r="I447" s="2"/>
      <c r="J447" s="12">
        <v>175135.84</v>
      </c>
      <c r="K447" s="2"/>
      <c r="L447" s="13">
        <f t="shared" si="102"/>
        <v>3.742397137745973E-2</v>
      </c>
      <c r="M447" s="2"/>
      <c r="N447" s="12">
        <f t="shared" si="103"/>
        <v>6317.8399999999965</v>
      </c>
      <c r="O447" s="2"/>
      <c r="P447" s="12">
        <v>168818</v>
      </c>
      <c r="Q447" t="s">
        <v>355</v>
      </c>
    </row>
    <row r="448" spans="1:17" x14ac:dyDescent="0.25">
      <c r="A448" t="s">
        <v>238</v>
      </c>
      <c r="B448" t="s">
        <v>34</v>
      </c>
      <c r="C448" t="s">
        <v>35</v>
      </c>
      <c r="D448" s="12">
        <f>ROUNDUP((314.34),0)</f>
        <v>315</v>
      </c>
      <c r="E448" s="2"/>
      <c r="F448" s="37">
        <f t="shared" si="100"/>
        <v>0</v>
      </c>
      <c r="G448" s="2"/>
      <c r="H448" s="12">
        <f t="shared" si="101"/>
        <v>0</v>
      </c>
      <c r="I448" s="2"/>
      <c r="J448" s="12">
        <f>ROUNDUP((314.34),0)</f>
        <v>315</v>
      </c>
      <c r="K448" s="2"/>
      <c r="L448" s="13">
        <f t="shared" si="102"/>
        <v>-0.15549597855227881</v>
      </c>
      <c r="M448" s="2"/>
      <c r="N448" s="12">
        <f t="shared" si="103"/>
        <v>-58</v>
      </c>
      <c r="O448" s="2"/>
      <c r="P448" s="12">
        <v>373</v>
      </c>
    </row>
    <row r="449" spans="1:16" x14ac:dyDescent="0.25">
      <c r="A449" t="s">
        <v>238</v>
      </c>
      <c r="B449" t="s">
        <v>9</v>
      </c>
      <c r="C449" t="s">
        <v>10</v>
      </c>
      <c r="D449" s="12">
        <f>ROUNDUP((1338.36),0)</f>
        <v>1339</v>
      </c>
      <c r="E449" s="2"/>
      <c r="F449" s="37">
        <f t="shared" si="100"/>
        <v>-1.9765739385065886E-2</v>
      </c>
      <c r="G449" s="2"/>
      <c r="H449" s="12">
        <f t="shared" si="101"/>
        <v>-27</v>
      </c>
      <c r="I449" s="2"/>
      <c r="J449" s="12">
        <f>ROUNDUP((1365.89),0)</f>
        <v>1366</v>
      </c>
      <c r="K449" s="2"/>
      <c r="L449" s="13">
        <f t="shared" si="102"/>
        <v>1.085496183206107</v>
      </c>
      <c r="M449" s="2"/>
      <c r="N449" s="12">
        <f t="shared" si="103"/>
        <v>711</v>
      </c>
      <c r="O449" s="2"/>
      <c r="P449" s="12">
        <v>655</v>
      </c>
    </row>
    <row r="450" spans="1:16" x14ac:dyDescent="0.25">
      <c r="A450" t="s">
        <v>238</v>
      </c>
      <c r="B450" t="s">
        <v>36</v>
      </c>
      <c r="C450" t="s">
        <v>37</v>
      </c>
      <c r="D450" s="12">
        <f>ROUNDUP((25430.01),0)</f>
        <v>25431</v>
      </c>
      <c r="E450" s="2"/>
      <c r="F450" s="37">
        <f t="shared" si="100"/>
        <v>-2.3049441051054512E-2</v>
      </c>
      <c r="G450" s="2"/>
      <c r="H450" s="12">
        <f t="shared" si="101"/>
        <v>-600</v>
      </c>
      <c r="I450" s="2"/>
      <c r="J450" s="12">
        <f>ROUNDUP((26030.13),0)</f>
        <v>26031</v>
      </c>
      <c r="K450" s="2"/>
      <c r="L450" s="13">
        <f t="shared" si="102"/>
        <v>3.5112136153968507E-2</v>
      </c>
      <c r="M450" s="2"/>
      <c r="N450" s="12">
        <f t="shared" si="103"/>
        <v>883</v>
      </c>
      <c r="O450" s="2"/>
      <c r="P450" s="12">
        <v>25148</v>
      </c>
    </row>
    <row r="451" spans="1:16" x14ac:dyDescent="0.25">
      <c r="A451" t="s">
        <v>238</v>
      </c>
      <c r="B451" t="s">
        <v>38</v>
      </c>
      <c r="C451" t="s">
        <v>39</v>
      </c>
      <c r="D451" s="12">
        <f>ROUNDUP((80778.15),0)</f>
        <v>80779</v>
      </c>
      <c r="E451" s="2"/>
      <c r="F451" s="37">
        <f t="shared" si="100"/>
        <v>1.1292362006585125E-2</v>
      </c>
      <c r="G451" s="2"/>
      <c r="H451" s="12">
        <f t="shared" si="101"/>
        <v>902</v>
      </c>
      <c r="I451" s="2"/>
      <c r="J451" s="12">
        <f>ROUNDUP((79876.27),0)</f>
        <v>79877</v>
      </c>
      <c r="K451" s="2"/>
      <c r="L451" s="13">
        <f t="shared" si="102"/>
        <v>-7.9355017173416934E-2</v>
      </c>
      <c r="M451" s="2"/>
      <c r="N451" s="12">
        <f t="shared" si="103"/>
        <v>-6885</v>
      </c>
      <c r="O451" s="2"/>
      <c r="P451" s="12">
        <v>86762</v>
      </c>
    </row>
    <row r="452" spans="1:16" x14ac:dyDescent="0.25">
      <c r="A452" t="s">
        <v>238</v>
      </c>
      <c r="B452" t="s">
        <v>11</v>
      </c>
      <c r="C452" t="s">
        <v>12</v>
      </c>
      <c r="D452" s="12">
        <f>ROUNDUP((19072.51),0)</f>
        <v>19073</v>
      </c>
      <c r="E452" s="2"/>
      <c r="F452" s="37">
        <f t="shared" si="100"/>
        <v>-2.3049736208574503E-2</v>
      </c>
      <c r="G452" s="2"/>
      <c r="H452" s="12">
        <f t="shared" si="101"/>
        <v>-450</v>
      </c>
      <c r="I452" s="2"/>
      <c r="J452" s="12">
        <f>ROUNDUP((19522.6),0)</f>
        <v>19523</v>
      </c>
      <c r="K452" s="2"/>
      <c r="L452" s="13">
        <f t="shared" si="102"/>
        <v>3.5098881289433219E-2</v>
      </c>
      <c r="M452" s="2"/>
      <c r="N452" s="12">
        <f t="shared" si="103"/>
        <v>662</v>
      </c>
      <c r="O452" s="2"/>
      <c r="P452" s="12">
        <v>18861</v>
      </c>
    </row>
    <row r="453" spans="1:16" x14ac:dyDescent="0.25">
      <c r="A453" t="s">
        <v>238</v>
      </c>
      <c r="B453" t="s">
        <v>13</v>
      </c>
      <c r="C453" t="s">
        <v>14</v>
      </c>
      <c r="D453" s="12">
        <f>3100-500</f>
        <v>2600</v>
      </c>
      <c r="E453" s="2"/>
      <c r="F453" s="37">
        <f t="shared" si="100"/>
        <v>-0.16129032258064516</v>
      </c>
      <c r="G453" s="2"/>
      <c r="H453" s="12">
        <f t="shared" si="101"/>
        <v>-500</v>
      </c>
      <c r="I453" s="2"/>
      <c r="J453" s="12">
        <v>3100</v>
      </c>
      <c r="K453" s="2"/>
      <c r="L453" s="13">
        <f t="shared" si="102"/>
        <v>0</v>
      </c>
      <c r="M453" s="2"/>
      <c r="N453" s="12">
        <f t="shared" si="103"/>
        <v>0</v>
      </c>
      <c r="O453" s="2"/>
      <c r="P453" s="12">
        <v>3100</v>
      </c>
    </row>
    <row r="454" spans="1:16" x14ac:dyDescent="0.25">
      <c r="A454" t="s">
        <v>238</v>
      </c>
      <c r="B454" t="s">
        <v>15</v>
      </c>
      <c r="C454" t="s">
        <v>16</v>
      </c>
      <c r="D454" s="12">
        <f>35000-1500</f>
        <v>33500</v>
      </c>
      <c r="E454" s="2"/>
      <c r="F454" s="37">
        <f t="shared" si="100"/>
        <v>-4.2857142857142858E-2</v>
      </c>
      <c r="G454" s="2"/>
      <c r="H454" s="12">
        <f t="shared" si="101"/>
        <v>-1500</v>
      </c>
      <c r="I454" s="2"/>
      <c r="J454" s="12">
        <v>35000</v>
      </c>
      <c r="K454" s="2"/>
      <c r="L454" s="13">
        <f t="shared" si="102"/>
        <v>0.1111111111111111</v>
      </c>
      <c r="M454" s="2"/>
      <c r="N454" s="12">
        <f t="shared" si="103"/>
        <v>3500</v>
      </c>
      <c r="O454" s="2"/>
      <c r="P454" s="12">
        <v>31500</v>
      </c>
    </row>
    <row r="455" spans="1:16" x14ac:dyDescent="0.25">
      <c r="A455" t="s">
        <v>238</v>
      </c>
      <c r="B455" t="s">
        <v>19</v>
      </c>
      <c r="C455" t="s">
        <v>20</v>
      </c>
      <c r="D455" s="12">
        <v>4420</v>
      </c>
      <c r="E455" s="2"/>
      <c r="F455" s="37">
        <f t="shared" si="100"/>
        <v>0</v>
      </c>
      <c r="G455" s="2"/>
      <c r="H455" s="12">
        <f t="shared" si="101"/>
        <v>0</v>
      </c>
      <c r="I455" s="2"/>
      <c r="J455" s="12">
        <v>4420</v>
      </c>
      <c r="K455" s="2"/>
      <c r="L455" s="13">
        <f t="shared" si="102"/>
        <v>0.10087173100871731</v>
      </c>
      <c r="M455" s="2"/>
      <c r="N455" s="12">
        <f t="shared" si="103"/>
        <v>405</v>
      </c>
      <c r="O455" s="2"/>
      <c r="P455" s="12">
        <v>4015</v>
      </c>
    </row>
    <row r="456" spans="1:16" x14ac:dyDescent="0.25">
      <c r="A456" t="s">
        <v>238</v>
      </c>
      <c r="B456" t="s">
        <v>63</v>
      </c>
      <c r="C456" t="s">
        <v>64</v>
      </c>
      <c r="D456" s="12">
        <v>250</v>
      </c>
      <c r="E456" s="2"/>
      <c r="F456" s="37">
        <f t="shared" si="100"/>
        <v>0</v>
      </c>
      <c r="G456" s="2"/>
      <c r="H456" s="12">
        <f t="shared" si="101"/>
        <v>0</v>
      </c>
      <c r="I456" s="2"/>
      <c r="J456" s="12">
        <v>250</v>
      </c>
      <c r="K456" s="2"/>
      <c r="L456" s="13">
        <f t="shared" si="102"/>
        <v>0</v>
      </c>
      <c r="M456" s="2"/>
      <c r="N456" s="12">
        <f t="shared" si="103"/>
        <v>0</v>
      </c>
      <c r="O456" s="2"/>
      <c r="P456" s="12">
        <v>250</v>
      </c>
    </row>
    <row r="457" spans="1:16" x14ac:dyDescent="0.25">
      <c r="A457" t="s">
        <v>238</v>
      </c>
      <c r="B457" t="s">
        <v>40</v>
      </c>
      <c r="C457" t="s">
        <v>41</v>
      </c>
      <c r="D457" s="12">
        <v>420</v>
      </c>
      <c r="E457" s="2"/>
      <c r="F457" s="37">
        <f t="shared" si="100"/>
        <v>0</v>
      </c>
      <c r="G457" s="2"/>
      <c r="H457" s="12">
        <f t="shared" si="101"/>
        <v>0</v>
      </c>
      <c r="I457" s="2"/>
      <c r="J457" s="12">
        <v>420</v>
      </c>
      <c r="K457" s="2"/>
      <c r="L457" s="13">
        <f t="shared" si="102"/>
        <v>0</v>
      </c>
      <c r="M457" s="2"/>
      <c r="N457" s="12">
        <f t="shared" si="103"/>
        <v>0</v>
      </c>
      <c r="O457" s="2"/>
      <c r="P457" s="12">
        <v>420</v>
      </c>
    </row>
    <row r="458" spans="1:16" x14ac:dyDescent="0.25">
      <c r="A458" t="s">
        <v>238</v>
      </c>
      <c r="B458" t="s">
        <v>23</v>
      </c>
      <c r="C458" t="s">
        <v>24</v>
      </c>
      <c r="D458" s="12">
        <v>400</v>
      </c>
      <c r="E458" s="2"/>
      <c r="F458" s="37">
        <f t="shared" si="100"/>
        <v>0</v>
      </c>
      <c r="G458" s="2"/>
      <c r="H458" s="12">
        <f t="shared" si="101"/>
        <v>0</v>
      </c>
      <c r="I458" s="2"/>
      <c r="J458" s="12">
        <v>400</v>
      </c>
      <c r="K458" s="2"/>
      <c r="L458" s="13">
        <f t="shared" si="102"/>
        <v>1.2857142857142858</v>
      </c>
      <c r="M458" s="2"/>
      <c r="N458" s="12">
        <f t="shared" si="103"/>
        <v>225</v>
      </c>
      <c r="O458" s="2"/>
      <c r="P458" s="12">
        <v>175</v>
      </c>
    </row>
    <row r="459" spans="1:16" x14ac:dyDescent="0.25">
      <c r="A459" t="s">
        <v>238</v>
      </c>
      <c r="B459" t="s">
        <v>42</v>
      </c>
      <c r="C459" t="s">
        <v>43</v>
      </c>
      <c r="D459" s="12">
        <v>170</v>
      </c>
      <c r="E459" s="2"/>
      <c r="F459" s="37">
        <f t="shared" si="100"/>
        <v>0</v>
      </c>
      <c r="G459" s="2"/>
      <c r="H459" s="12">
        <f t="shared" si="101"/>
        <v>0</v>
      </c>
      <c r="I459" s="2"/>
      <c r="J459" s="12">
        <v>170</v>
      </c>
      <c r="K459" s="2"/>
      <c r="L459" s="13">
        <f t="shared" si="102"/>
        <v>0.7</v>
      </c>
      <c r="M459" s="2"/>
      <c r="N459" s="12">
        <f t="shared" si="103"/>
        <v>70</v>
      </c>
      <c r="O459" s="2"/>
      <c r="P459" s="12">
        <v>100</v>
      </c>
    </row>
    <row r="460" spans="1:16" x14ac:dyDescent="0.25">
      <c r="A460" t="s">
        <v>238</v>
      </c>
      <c r="B460" t="s">
        <v>44</v>
      </c>
      <c r="C460" t="s">
        <v>45</v>
      </c>
      <c r="D460" s="12">
        <v>150</v>
      </c>
      <c r="E460" s="2"/>
      <c r="F460" s="37">
        <f t="shared" si="100"/>
        <v>0</v>
      </c>
      <c r="G460" s="2"/>
      <c r="H460" s="12">
        <f t="shared" si="101"/>
        <v>0</v>
      </c>
      <c r="I460" s="2"/>
      <c r="J460" s="12">
        <v>150</v>
      </c>
      <c r="K460" s="2"/>
      <c r="L460" s="13">
        <f t="shared" si="102"/>
        <v>1</v>
      </c>
      <c r="M460" s="2"/>
      <c r="N460" s="12">
        <f t="shared" si="103"/>
        <v>75</v>
      </c>
      <c r="O460" s="2"/>
      <c r="P460" s="12">
        <v>75</v>
      </c>
    </row>
    <row r="461" spans="1:16" x14ac:dyDescent="0.25">
      <c r="A461" t="s">
        <v>238</v>
      </c>
      <c r="B461" t="s">
        <v>121</v>
      </c>
      <c r="C461" t="s">
        <v>122</v>
      </c>
      <c r="D461" s="12">
        <v>313</v>
      </c>
      <c r="E461" s="2"/>
      <c r="F461" s="37">
        <f t="shared" si="100"/>
        <v>0.14233576642335766</v>
      </c>
      <c r="G461" s="2"/>
      <c r="H461" s="12">
        <f t="shared" si="101"/>
        <v>39</v>
      </c>
      <c r="I461" s="2"/>
      <c r="J461" s="12">
        <v>274</v>
      </c>
      <c r="K461" s="2"/>
      <c r="L461" s="13">
        <f t="shared" si="102"/>
        <v>0.14166666666666666</v>
      </c>
      <c r="M461" s="2"/>
      <c r="N461" s="12">
        <f t="shared" si="103"/>
        <v>34</v>
      </c>
      <c r="O461" s="2"/>
      <c r="P461" s="12">
        <v>240</v>
      </c>
    </row>
    <row r="462" spans="1:16" x14ac:dyDescent="0.25">
      <c r="A462" t="s">
        <v>238</v>
      </c>
      <c r="B462" t="s">
        <v>123</v>
      </c>
      <c r="C462" t="s">
        <v>124</v>
      </c>
      <c r="D462" s="12">
        <v>2420</v>
      </c>
      <c r="E462" s="2"/>
      <c r="F462" s="37">
        <f t="shared" si="100"/>
        <v>0</v>
      </c>
      <c r="G462" s="2"/>
      <c r="H462" s="12">
        <f t="shared" si="101"/>
        <v>0</v>
      </c>
      <c r="I462" s="2"/>
      <c r="J462" s="12">
        <v>2420</v>
      </c>
      <c r="K462" s="2"/>
      <c r="L462" s="13">
        <f t="shared" si="102"/>
        <v>4.1339396444811904E-4</v>
      </c>
      <c r="M462" s="2"/>
      <c r="N462" s="12">
        <f t="shared" si="103"/>
        <v>1</v>
      </c>
      <c r="O462" s="2"/>
      <c r="P462" s="12">
        <v>2419</v>
      </c>
    </row>
    <row r="463" spans="1:16" x14ac:dyDescent="0.25">
      <c r="A463" t="s">
        <v>238</v>
      </c>
      <c r="B463" t="s">
        <v>125</v>
      </c>
      <c r="C463" t="s">
        <v>126</v>
      </c>
      <c r="D463" s="12">
        <v>189</v>
      </c>
      <c r="E463" s="2"/>
      <c r="F463" s="37">
        <f t="shared" si="100"/>
        <v>4.4198895027624308E-2</v>
      </c>
      <c r="G463" s="2"/>
      <c r="H463" s="12">
        <f t="shared" si="101"/>
        <v>8</v>
      </c>
      <c r="I463" s="2"/>
      <c r="J463" s="12">
        <v>181</v>
      </c>
      <c r="K463" s="2"/>
      <c r="L463" s="13">
        <f t="shared" si="102"/>
        <v>0</v>
      </c>
      <c r="M463" s="2"/>
      <c r="N463" s="12">
        <f t="shared" si="103"/>
        <v>0</v>
      </c>
      <c r="O463" s="2"/>
      <c r="P463" s="12">
        <v>181</v>
      </c>
    </row>
    <row r="464" spans="1:16" x14ac:dyDescent="0.25">
      <c r="A464" t="s">
        <v>238</v>
      </c>
      <c r="B464" t="s">
        <v>69</v>
      </c>
      <c r="C464" t="s">
        <v>70</v>
      </c>
      <c r="D464" s="12">
        <v>1500</v>
      </c>
      <c r="E464" s="2"/>
      <c r="F464" s="37">
        <f t="shared" si="100"/>
        <v>0</v>
      </c>
      <c r="G464" s="2"/>
      <c r="H464" s="12">
        <f t="shared" si="101"/>
        <v>0</v>
      </c>
      <c r="I464" s="2"/>
      <c r="J464" s="12">
        <v>1500</v>
      </c>
      <c r="K464" s="2"/>
      <c r="L464" s="13">
        <f t="shared" si="102"/>
        <v>-0.86784140969162993</v>
      </c>
      <c r="M464" s="2"/>
      <c r="N464" s="12">
        <f t="shared" si="103"/>
        <v>-9850</v>
      </c>
      <c r="O464" s="2"/>
      <c r="P464" s="12">
        <v>11350</v>
      </c>
    </row>
    <row r="465" spans="1:17" x14ac:dyDescent="0.25">
      <c r="D465" s="2"/>
      <c r="E465" s="2"/>
      <c r="F465" s="2"/>
      <c r="G465" s="2"/>
      <c r="H465" s="2"/>
      <c r="I465" s="2"/>
      <c r="J465" s="2"/>
      <c r="K465" s="2"/>
      <c r="M465" s="2"/>
      <c r="O465" s="2"/>
    </row>
    <row r="466" spans="1:17" x14ac:dyDescent="0.25">
      <c r="A466" t="s">
        <v>5</v>
      </c>
      <c r="B466" t="s">
        <v>5</v>
      </c>
      <c r="C466" s="1" t="s">
        <v>380</v>
      </c>
      <c r="D466" s="8">
        <f>SUM(D446:D464)</f>
        <v>422584</v>
      </c>
      <c r="E466" s="2"/>
      <c r="F466" s="15">
        <f>H466/J466</f>
        <v>-1.8604124471161793E-2</v>
      </c>
      <c r="G466" s="2"/>
      <c r="H466" s="8">
        <f>SUM(H446:H464)</f>
        <v>-8010.8399999999965</v>
      </c>
      <c r="I466" s="2"/>
      <c r="J466" s="8">
        <f>SUM(J446:J464)</f>
        <v>430594.83999999997</v>
      </c>
      <c r="K466" s="2"/>
      <c r="L466" s="15">
        <f>N466/P466</f>
        <v>-3.6493803393093573E-3</v>
      </c>
      <c r="M466" s="2"/>
      <c r="N466" s="8">
        <f>SUM(N446:N464)</f>
        <v>-1577.1600000000035</v>
      </c>
      <c r="O466" s="2"/>
      <c r="P466" s="8">
        <f>SUM(P446:P464)</f>
        <v>432172</v>
      </c>
    </row>
    <row r="467" spans="1:17" x14ac:dyDescent="0.25">
      <c r="D467" s="2"/>
      <c r="E467" s="2"/>
      <c r="F467" s="2"/>
      <c r="G467" s="2"/>
      <c r="H467" s="2"/>
      <c r="I467" s="2"/>
      <c r="J467" s="2"/>
      <c r="K467" s="2"/>
      <c r="M467" s="2"/>
      <c r="O467" s="2"/>
    </row>
    <row r="468" spans="1:17" x14ac:dyDescent="0.25">
      <c r="A468" t="s">
        <v>239</v>
      </c>
      <c r="B468" t="s">
        <v>57</v>
      </c>
      <c r="C468" t="s">
        <v>58</v>
      </c>
      <c r="D468" s="12">
        <f>ROUNDUP((92017.12),0)</f>
        <v>92018</v>
      </c>
      <c r="E468" s="2"/>
      <c r="F468" s="37">
        <f t="shared" ref="F468:F505" si="104">H468/J468</f>
        <v>0</v>
      </c>
      <c r="G468" s="2"/>
      <c r="H468" s="12">
        <f t="shared" ref="H468:H506" si="105">D468-J468</f>
        <v>0</v>
      </c>
      <c r="I468" s="2"/>
      <c r="J468" s="12">
        <f>ROUNDUP((87217.1+4800.02),0)</f>
        <v>92018</v>
      </c>
      <c r="K468" s="2"/>
      <c r="L468" s="13">
        <f t="shared" ref="L468:L505" si="106">N468/P468</f>
        <v>2.8398359354918024E-2</v>
      </c>
      <c r="M468" s="2"/>
      <c r="N468" s="12">
        <f t="shared" ref="N468:N506" si="107">J468-P468</f>
        <v>2541</v>
      </c>
      <c r="O468" s="2"/>
      <c r="P468" s="12">
        <v>89477</v>
      </c>
      <c r="Q468" t="s">
        <v>386</v>
      </c>
    </row>
    <row r="469" spans="1:17" x14ac:dyDescent="0.25">
      <c r="A469" t="s">
        <v>239</v>
      </c>
      <c r="B469" t="s">
        <v>30</v>
      </c>
      <c r="C469" t="s">
        <v>31</v>
      </c>
      <c r="D469" s="12">
        <f>ROUNDUP((288203.81),0)</f>
        <v>288204</v>
      </c>
      <c r="E469" s="2"/>
      <c r="F469" s="37">
        <f t="shared" si="104"/>
        <v>2.2297263743357998E-2</v>
      </c>
      <c r="G469" s="2"/>
      <c r="H469" s="12">
        <f t="shared" si="105"/>
        <v>6286</v>
      </c>
      <c r="I469" s="2"/>
      <c r="J469" s="12">
        <f>ROUNDUP((281917.31),0)</f>
        <v>281918</v>
      </c>
      <c r="K469" s="2"/>
      <c r="L469" s="13">
        <f t="shared" si="106"/>
        <v>4.8026200840895317E-2</v>
      </c>
      <c r="M469" s="2"/>
      <c r="N469" s="12">
        <f t="shared" si="107"/>
        <v>12919</v>
      </c>
      <c r="O469" s="2"/>
      <c r="P469" s="12">
        <v>268999</v>
      </c>
      <c r="Q469" t="s">
        <v>416</v>
      </c>
    </row>
    <row r="470" spans="1:17" x14ac:dyDescent="0.25">
      <c r="A470" t="s">
        <v>239</v>
      </c>
      <c r="B470" t="s">
        <v>59</v>
      </c>
      <c r="C470" t="s">
        <v>60</v>
      </c>
      <c r="D470" s="12">
        <f>ROUNDUP((176737.52),0)</f>
        <v>176738</v>
      </c>
      <c r="E470" s="2"/>
      <c r="F470" s="37">
        <f t="shared" si="104"/>
        <v>5.5240438006758777E-2</v>
      </c>
      <c r="G470" s="2"/>
      <c r="H470" s="12">
        <f t="shared" si="105"/>
        <v>9252</v>
      </c>
      <c r="I470" s="2"/>
      <c r="J470" s="12">
        <f>ROUNDUP((167485.52),0)</f>
        <v>167486</v>
      </c>
      <c r="K470" s="2"/>
      <c r="L470" s="13">
        <f t="shared" si="106"/>
        <v>1.1474400009662652E-2</v>
      </c>
      <c r="M470" s="2"/>
      <c r="N470" s="12">
        <f t="shared" si="107"/>
        <v>1900</v>
      </c>
      <c r="O470" s="2"/>
      <c r="P470" s="12">
        <v>165586</v>
      </c>
      <c r="Q470" t="s">
        <v>419</v>
      </c>
    </row>
    <row r="471" spans="1:17" x14ac:dyDescent="0.25">
      <c r="A471" t="s">
        <v>239</v>
      </c>
      <c r="B471" t="s">
        <v>61</v>
      </c>
      <c r="C471" t="s">
        <v>75</v>
      </c>
      <c r="D471" s="12">
        <v>5000</v>
      </c>
      <c r="E471" s="2"/>
      <c r="F471" s="37">
        <f t="shared" si="104"/>
        <v>0</v>
      </c>
      <c r="G471" s="2"/>
      <c r="H471" s="12">
        <f t="shared" si="105"/>
        <v>0</v>
      </c>
      <c r="I471" s="2"/>
      <c r="J471" s="12">
        <v>5000</v>
      </c>
      <c r="K471" s="2"/>
      <c r="L471" s="13">
        <f t="shared" si="106"/>
        <v>0</v>
      </c>
      <c r="M471" s="2"/>
      <c r="N471" s="12">
        <f t="shared" si="107"/>
        <v>0</v>
      </c>
      <c r="O471" s="2"/>
      <c r="P471" s="12">
        <v>5000</v>
      </c>
    </row>
    <row r="472" spans="1:17" x14ac:dyDescent="0.25">
      <c r="A472" t="s">
        <v>239</v>
      </c>
      <c r="B472" t="s">
        <v>34</v>
      </c>
      <c r="C472" t="s">
        <v>35</v>
      </c>
      <c r="D472" s="12">
        <f>ROUNDUP((1527.94),0)</f>
        <v>1528</v>
      </c>
      <c r="E472" s="2"/>
      <c r="F472" s="37">
        <f t="shared" si="104"/>
        <v>3.0343897505057317E-2</v>
      </c>
      <c r="G472" s="2"/>
      <c r="H472" s="12">
        <f t="shared" si="105"/>
        <v>45</v>
      </c>
      <c r="I472" s="2"/>
      <c r="J472" s="12">
        <v>1483</v>
      </c>
      <c r="K472" s="2"/>
      <c r="L472" s="13">
        <f t="shared" si="106"/>
        <v>2.986559139784946</v>
      </c>
      <c r="M472" s="2"/>
      <c r="N472" s="12">
        <f t="shared" si="107"/>
        <v>1111</v>
      </c>
      <c r="O472" s="2"/>
      <c r="P472" s="12">
        <v>372</v>
      </c>
    </row>
    <row r="473" spans="1:17" x14ac:dyDescent="0.25">
      <c r="A473" t="s">
        <v>239</v>
      </c>
      <c r="B473" t="s">
        <v>9</v>
      </c>
      <c r="C473" t="s">
        <v>10</v>
      </c>
      <c r="D473" s="12">
        <f>ROUNDUP((24967.42),0)</f>
        <v>24968</v>
      </c>
      <c r="E473" s="2"/>
      <c r="F473" s="37">
        <f t="shared" si="104"/>
        <v>3.0203003796005941E-2</v>
      </c>
      <c r="G473" s="2"/>
      <c r="H473" s="12">
        <f t="shared" si="105"/>
        <v>732</v>
      </c>
      <c r="I473" s="2"/>
      <c r="J473" s="12">
        <f>ROUNDUP((24235.08),0)</f>
        <v>24236</v>
      </c>
      <c r="K473" s="2"/>
      <c r="L473" s="13">
        <f t="shared" si="106"/>
        <v>0.46707021791767556</v>
      </c>
      <c r="M473" s="2"/>
      <c r="N473" s="12">
        <f t="shared" si="107"/>
        <v>7716</v>
      </c>
      <c r="O473" s="2"/>
      <c r="P473" s="12">
        <v>16520</v>
      </c>
    </row>
    <row r="474" spans="1:17" x14ac:dyDescent="0.25">
      <c r="A474" t="s">
        <v>239</v>
      </c>
      <c r="B474" t="s">
        <v>36</v>
      </c>
      <c r="C474" t="s">
        <v>37</v>
      </c>
      <c r="D474" s="12">
        <f>ROUNDUP((30812.58),0)</f>
        <v>30813</v>
      </c>
      <c r="E474" s="2"/>
      <c r="F474" s="37">
        <f t="shared" si="104"/>
        <v>1.4653582718651212E-2</v>
      </c>
      <c r="G474" s="2"/>
      <c r="H474" s="12">
        <f t="shared" si="105"/>
        <v>445</v>
      </c>
      <c r="I474" s="2"/>
      <c r="J474" s="12">
        <f>ROUNDUP((30367.04),)</f>
        <v>30368</v>
      </c>
      <c r="K474" s="2"/>
      <c r="L474" s="13">
        <f t="shared" si="106"/>
        <v>2.9528426619656236E-2</v>
      </c>
      <c r="M474" s="2"/>
      <c r="N474" s="12">
        <f t="shared" si="107"/>
        <v>871</v>
      </c>
      <c r="O474" s="2"/>
      <c r="P474" s="12">
        <v>29497</v>
      </c>
    </row>
    <row r="475" spans="1:17" x14ac:dyDescent="0.25">
      <c r="A475" t="s">
        <v>239</v>
      </c>
      <c r="B475" t="s">
        <v>38</v>
      </c>
      <c r="C475" t="s">
        <v>39</v>
      </c>
      <c r="D475" s="12">
        <f>ROUNDUP((42254.18),0)</f>
        <v>42255</v>
      </c>
      <c r="E475" s="2"/>
      <c r="F475" s="37">
        <f t="shared" si="104"/>
        <v>0</v>
      </c>
      <c r="G475" s="2"/>
      <c r="H475" s="12">
        <f t="shared" si="105"/>
        <v>0</v>
      </c>
      <c r="I475" s="2"/>
      <c r="J475" s="12">
        <f>ROUNDUP((42254.18),0)</f>
        <v>42255</v>
      </c>
      <c r="K475" s="2"/>
      <c r="L475" s="13">
        <f t="shared" si="106"/>
        <v>-0.58793700326685849</v>
      </c>
      <c r="M475" s="2"/>
      <c r="N475" s="12">
        <f t="shared" si="107"/>
        <v>-60290</v>
      </c>
      <c r="O475" s="2"/>
      <c r="P475" s="12">
        <v>102545</v>
      </c>
    </row>
    <row r="476" spans="1:17" x14ac:dyDescent="0.25">
      <c r="A476" t="s">
        <v>239</v>
      </c>
      <c r="B476" t="s">
        <v>11</v>
      </c>
      <c r="C476" t="s">
        <v>12</v>
      </c>
      <c r="D476" s="12">
        <f>ROUNDUP((42989.82),0)</f>
        <v>42990</v>
      </c>
      <c r="E476" s="2"/>
      <c r="F476" s="37">
        <f t="shared" si="104"/>
        <v>2.8419692837663268E-2</v>
      </c>
      <c r="G476" s="2"/>
      <c r="H476" s="12">
        <f t="shared" si="105"/>
        <v>1188</v>
      </c>
      <c r="I476" s="2"/>
      <c r="J476" s="12">
        <f>ROUNDUP((41801.13),0)</f>
        <v>41802</v>
      </c>
      <c r="K476" s="2"/>
      <c r="L476" s="13">
        <f t="shared" si="106"/>
        <v>3.2836705952116227E-2</v>
      </c>
      <c r="M476" s="2"/>
      <c r="N476" s="12">
        <f t="shared" si="107"/>
        <v>1329</v>
      </c>
      <c r="O476" s="2"/>
      <c r="P476" s="12">
        <v>40473</v>
      </c>
    </row>
    <row r="477" spans="1:17" x14ac:dyDescent="0.25">
      <c r="A477" t="s">
        <v>239</v>
      </c>
      <c r="B477" t="s">
        <v>13</v>
      </c>
      <c r="C477" t="s">
        <v>14</v>
      </c>
      <c r="D477" s="12">
        <v>1800</v>
      </c>
      <c r="E477" s="2"/>
      <c r="F477" s="37">
        <f t="shared" si="104"/>
        <v>0</v>
      </c>
      <c r="G477" s="2"/>
      <c r="H477" s="12">
        <f t="shared" si="105"/>
        <v>0</v>
      </c>
      <c r="I477" s="2"/>
      <c r="J477" s="12">
        <v>1800</v>
      </c>
      <c r="K477" s="2"/>
      <c r="L477" s="13">
        <f t="shared" si="106"/>
        <v>0.2</v>
      </c>
      <c r="M477" s="2"/>
      <c r="N477" s="12">
        <f t="shared" si="107"/>
        <v>300</v>
      </c>
      <c r="O477" s="2"/>
      <c r="P477" s="12">
        <v>1500</v>
      </c>
    </row>
    <row r="478" spans="1:17" x14ac:dyDescent="0.25">
      <c r="A478" t="s">
        <v>239</v>
      </c>
      <c r="B478" t="s">
        <v>15</v>
      </c>
      <c r="C478" t="s">
        <v>16</v>
      </c>
      <c r="D478" s="12">
        <v>50000</v>
      </c>
      <c r="E478" s="2"/>
      <c r="F478" s="37">
        <f t="shared" si="104"/>
        <v>0</v>
      </c>
      <c r="G478" s="2"/>
      <c r="H478" s="12">
        <f t="shared" si="105"/>
        <v>0</v>
      </c>
      <c r="I478" s="2"/>
      <c r="J478" s="12">
        <v>50000</v>
      </c>
      <c r="K478" s="2"/>
      <c r="L478" s="13">
        <f t="shared" si="106"/>
        <v>6.3829787234042548E-2</v>
      </c>
      <c r="M478" s="2"/>
      <c r="N478" s="12">
        <f t="shared" si="107"/>
        <v>3000</v>
      </c>
      <c r="O478" s="2"/>
      <c r="P478" s="12">
        <v>47000</v>
      </c>
    </row>
    <row r="479" spans="1:17" x14ac:dyDescent="0.25">
      <c r="A479" t="s">
        <v>239</v>
      </c>
      <c r="B479" t="s">
        <v>19</v>
      </c>
      <c r="C479" t="s">
        <v>20</v>
      </c>
      <c r="D479" s="12">
        <v>200</v>
      </c>
      <c r="E479" s="2"/>
      <c r="F479" s="37">
        <f t="shared" si="104"/>
        <v>0</v>
      </c>
      <c r="G479" s="2"/>
      <c r="H479" s="12">
        <f t="shared" si="105"/>
        <v>0</v>
      </c>
      <c r="I479" s="2"/>
      <c r="J479" s="12">
        <v>200</v>
      </c>
      <c r="K479" s="2"/>
      <c r="L479" s="13">
        <f t="shared" si="106"/>
        <v>0</v>
      </c>
      <c r="M479" s="2"/>
      <c r="N479" s="12">
        <f t="shared" si="107"/>
        <v>0</v>
      </c>
      <c r="O479" s="2"/>
      <c r="P479" s="12">
        <v>200</v>
      </c>
    </row>
    <row r="480" spans="1:17" x14ac:dyDescent="0.25">
      <c r="A480" t="s">
        <v>239</v>
      </c>
      <c r="B480" t="s">
        <v>21</v>
      </c>
      <c r="C480" t="s">
        <v>22</v>
      </c>
      <c r="D480" s="12">
        <v>1000</v>
      </c>
      <c r="E480" s="2"/>
      <c r="F480" s="37">
        <f t="shared" si="104"/>
        <v>0</v>
      </c>
      <c r="G480" s="2"/>
      <c r="H480" s="12">
        <f t="shared" si="105"/>
        <v>0</v>
      </c>
      <c r="I480" s="2"/>
      <c r="J480" s="12">
        <v>1000</v>
      </c>
      <c r="K480" s="2"/>
      <c r="L480" s="13">
        <f t="shared" si="106"/>
        <v>0</v>
      </c>
      <c r="M480" s="2"/>
      <c r="N480" s="12">
        <f t="shared" si="107"/>
        <v>0</v>
      </c>
      <c r="O480" s="2"/>
      <c r="P480" s="12">
        <v>1000</v>
      </c>
    </row>
    <row r="481" spans="1:17" x14ac:dyDescent="0.25">
      <c r="A481" t="s">
        <v>239</v>
      </c>
      <c r="B481" t="s">
        <v>153</v>
      </c>
      <c r="C481" t="s">
        <v>154</v>
      </c>
      <c r="D481" s="12">
        <v>1000</v>
      </c>
      <c r="E481" s="2"/>
      <c r="F481" s="37">
        <f t="shared" si="104"/>
        <v>0</v>
      </c>
      <c r="G481" s="2"/>
      <c r="H481" s="12">
        <f t="shared" si="105"/>
        <v>0</v>
      </c>
      <c r="I481" s="2"/>
      <c r="J481" s="12">
        <v>1000</v>
      </c>
      <c r="K481" s="2"/>
      <c r="L481" s="13">
        <f t="shared" si="106"/>
        <v>0.25</v>
      </c>
      <c r="M481" s="2"/>
      <c r="N481" s="12">
        <f t="shared" si="107"/>
        <v>200</v>
      </c>
      <c r="O481" s="2"/>
      <c r="P481" s="12">
        <v>800</v>
      </c>
    </row>
    <row r="482" spans="1:17" x14ac:dyDescent="0.25">
      <c r="A482" t="s">
        <v>239</v>
      </c>
      <c r="B482" t="s">
        <v>40</v>
      </c>
      <c r="C482" t="s">
        <v>41</v>
      </c>
      <c r="D482" s="12">
        <v>1250</v>
      </c>
      <c r="E482" s="2"/>
      <c r="F482" s="37">
        <f t="shared" si="104"/>
        <v>0</v>
      </c>
      <c r="G482" s="2"/>
      <c r="H482" s="12">
        <f t="shared" si="105"/>
        <v>0</v>
      </c>
      <c r="I482" s="2"/>
      <c r="J482" s="12">
        <v>1250</v>
      </c>
      <c r="K482" s="2"/>
      <c r="L482" s="13">
        <f t="shared" si="106"/>
        <v>0.48809523809523808</v>
      </c>
      <c r="M482" s="2"/>
      <c r="N482" s="12">
        <f t="shared" si="107"/>
        <v>410</v>
      </c>
      <c r="O482" s="2"/>
      <c r="P482" s="12">
        <v>840</v>
      </c>
    </row>
    <row r="483" spans="1:17" x14ac:dyDescent="0.25">
      <c r="A483" t="s">
        <v>239</v>
      </c>
      <c r="B483" t="s">
        <v>240</v>
      </c>
      <c r="C483" t="s">
        <v>241</v>
      </c>
      <c r="D483" s="12">
        <v>7500</v>
      </c>
      <c r="E483" s="2"/>
      <c r="F483" s="37">
        <f t="shared" si="104"/>
        <v>0</v>
      </c>
      <c r="G483" s="2"/>
      <c r="H483" s="12">
        <f t="shared" si="105"/>
        <v>0</v>
      </c>
      <c r="I483" s="2"/>
      <c r="J483" s="12">
        <v>7500</v>
      </c>
      <c r="K483" s="2"/>
      <c r="L483" s="13">
        <f t="shared" si="106"/>
        <v>-4.4950974150006366E-2</v>
      </c>
      <c r="M483" s="2"/>
      <c r="N483" s="12">
        <f t="shared" si="107"/>
        <v>-353</v>
      </c>
      <c r="O483" s="2"/>
      <c r="P483" s="12">
        <v>7853</v>
      </c>
    </row>
    <row r="484" spans="1:17" x14ac:dyDescent="0.25">
      <c r="A484" t="s">
        <v>239</v>
      </c>
      <c r="B484" t="s">
        <v>242</v>
      </c>
      <c r="C484" t="s">
        <v>243</v>
      </c>
      <c r="D484" s="12">
        <v>23000</v>
      </c>
      <c r="E484" s="2"/>
      <c r="F484" s="37">
        <f t="shared" si="104"/>
        <v>0</v>
      </c>
      <c r="G484" s="2"/>
      <c r="H484" s="12">
        <f t="shared" si="105"/>
        <v>0</v>
      </c>
      <c r="I484" s="2"/>
      <c r="J484" s="12">
        <v>23000</v>
      </c>
      <c r="K484" s="2"/>
      <c r="L484" s="13">
        <f t="shared" si="106"/>
        <v>0.15</v>
      </c>
      <c r="M484" s="2"/>
      <c r="N484" s="12">
        <f t="shared" si="107"/>
        <v>3000</v>
      </c>
      <c r="O484" s="2"/>
      <c r="P484" s="12">
        <v>20000</v>
      </c>
    </row>
    <row r="485" spans="1:17" x14ac:dyDescent="0.25">
      <c r="A485" t="s">
        <v>239</v>
      </c>
      <c r="B485" t="s">
        <v>244</v>
      </c>
      <c r="C485" t="s">
        <v>245</v>
      </c>
      <c r="D485" s="12">
        <v>3800</v>
      </c>
      <c r="E485" s="2"/>
      <c r="F485" s="37">
        <f t="shared" si="104"/>
        <v>0</v>
      </c>
      <c r="G485" s="2"/>
      <c r="H485" s="12">
        <f t="shared" si="105"/>
        <v>0</v>
      </c>
      <c r="I485" s="2"/>
      <c r="J485" s="12">
        <v>3800</v>
      </c>
      <c r="K485" s="2"/>
      <c r="L485" s="13">
        <f t="shared" si="106"/>
        <v>0.26666666666666666</v>
      </c>
      <c r="M485" s="2"/>
      <c r="N485" s="12">
        <f t="shared" si="107"/>
        <v>800</v>
      </c>
      <c r="O485" s="2"/>
      <c r="P485" s="12">
        <v>3000</v>
      </c>
    </row>
    <row r="486" spans="1:17" x14ac:dyDescent="0.25">
      <c r="A486" t="s">
        <v>239</v>
      </c>
      <c r="B486" t="s">
        <v>246</v>
      </c>
      <c r="C486" t="s">
        <v>247</v>
      </c>
      <c r="D486" s="12">
        <f>20000-12000</f>
        <v>8000</v>
      </c>
      <c r="E486" s="2"/>
      <c r="F486" s="37">
        <f t="shared" si="104"/>
        <v>-0.6</v>
      </c>
      <c r="G486" s="2"/>
      <c r="H486" s="12">
        <f t="shared" si="105"/>
        <v>-12000</v>
      </c>
      <c r="I486" s="2"/>
      <c r="J486" s="12">
        <v>20000</v>
      </c>
      <c r="K486" s="2"/>
      <c r="L486" s="13">
        <f t="shared" si="106"/>
        <v>2.9643211100099109</v>
      </c>
      <c r="M486" s="2"/>
      <c r="N486" s="12">
        <f t="shared" si="107"/>
        <v>14955</v>
      </c>
      <c r="O486" s="2"/>
      <c r="P486" s="12">
        <v>5045</v>
      </c>
      <c r="Q486" t="s">
        <v>418</v>
      </c>
    </row>
    <row r="487" spans="1:17" x14ac:dyDescent="0.25">
      <c r="A487" t="s">
        <v>239</v>
      </c>
      <c r="B487" t="s">
        <v>248</v>
      </c>
      <c r="C487" t="s">
        <v>249</v>
      </c>
      <c r="D487" s="12">
        <v>3800</v>
      </c>
      <c r="E487" s="2"/>
      <c r="F487" s="37">
        <f t="shared" si="104"/>
        <v>0</v>
      </c>
      <c r="G487" s="2"/>
      <c r="H487" s="12">
        <f t="shared" si="105"/>
        <v>0</v>
      </c>
      <c r="I487" s="2"/>
      <c r="J487" s="12">
        <v>3800</v>
      </c>
      <c r="K487" s="2"/>
      <c r="L487" s="13">
        <f t="shared" si="106"/>
        <v>0</v>
      </c>
      <c r="M487" s="2"/>
      <c r="N487" s="12">
        <f t="shared" si="107"/>
        <v>0</v>
      </c>
      <c r="O487" s="2"/>
      <c r="P487" s="12">
        <v>3800</v>
      </c>
    </row>
    <row r="488" spans="1:17" x14ac:dyDescent="0.25">
      <c r="A488" t="s">
        <v>239</v>
      </c>
      <c r="B488" t="s">
        <v>85</v>
      </c>
      <c r="C488" t="s">
        <v>86</v>
      </c>
      <c r="D488" s="12">
        <v>7600</v>
      </c>
      <c r="E488" s="2"/>
      <c r="F488" s="37">
        <f t="shared" si="104"/>
        <v>0</v>
      </c>
      <c r="G488" s="2"/>
      <c r="H488" s="12">
        <f t="shared" si="105"/>
        <v>0</v>
      </c>
      <c r="I488" s="2"/>
      <c r="J488" s="12">
        <v>7600</v>
      </c>
      <c r="K488" s="2"/>
      <c r="L488" s="13">
        <f t="shared" si="106"/>
        <v>0</v>
      </c>
      <c r="M488" s="2"/>
      <c r="N488" s="12">
        <f t="shared" si="107"/>
        <v>0</v>
      </c>
      <c r="O488" s="2"/>
      <c r="P488" s="12">
        <v>7600</v>
      </c>
    </row>
    <row r="489" spans="1:17" x14ac:dyDescent="0.25">
      <c r="A489" t="s">
        <v>239</v>
      </c>
      <c r="B489" t="s">
        <v>157</v>
      </c>
      <c r="C489" t="s">
        <v>158</v>
      </c>
      <c r="D489" s="12">
        <v>1800</v>
      </c>
      <c r="E489" s="2"/>
      <c r="F489" s="37">
        <f t="shared" si="104"/>
        <v>0</v>
      </c>
      <c r="G489" s="2"/>
      <c r="H489" s="12">
        <f t="shared" si="105"/>
        <v>0</v>
      </c>
      <c r="I489" s="2"/>
      <c r="J489" s="12">
        <v>1800</v>
      </c>
      <c r="K489" s="2"/>
      <c r="L489" s="13">
        <f t="shared" si="106"/>
        <v>0</v>
      </c>
      <c r="M489" s="2"/>
      <c r="N489" s="12">
        <f t="shared" si="107"/>
        <v>0</v>
      </c>
      <c r="O489" s="2"/>
      <c r="P489" s="12">
        <v>1800</v>
      </c>
    </row>
    <row r="490" spans="1:17" x14ac:dyDescent="0.25">
      <c r="A490" t="s">
        <v>239</v>
      </c>
      <c r="B490" t="s">
        <v>250</v>
      </c>
      <c r="C490" t="s">
        <v>251</v>
      </c>
      <c r="D490" s="12">
        <v>1000</v>
      </c>
      <c r="E490" s="2"/>
      <c r="F490" s="37">
        <f t="shared" si="104"/>
        <v>0</v>
      </c>
      <c r="G490" s="2"/>
      <c r="H490" s="12">
        <f t="shared" si="105"/>
        <v>0</v>
      </c>
      <c r="I490" s="2"/>
      <c r="J490" s="12">
        <v>1000</v>
      </c>
      <c r="K490" s="2"/>
      <c r="L490" s="13">
        <f t="shared" si="106"/>
        <v>0</v>
      </c>
      <c r="M490" s="2"/>
      <c r="N490" s="12">
        <f t="shared" si="107"/>
        <v>0</v>
      </c>
      <c r="O490" s="2"/>
      <c r="P490" s="12">
        <v>1000</v>
      </c>
    </row>
    <row r="491" spans="1:17" x14ac:dyDescent="0.25">
      <c r="A491" t="s">
        <v>239</v>
      </c>
      <c r="B491" t="s">
        <v>23</v>
      </c>
      <c r="C491" t="s">
        <v>24</v>
      </c>
      <c r="D491" s="12">
        <v>3000</v>
      </c>
      <c r="E491" s="2"/>
      <c r="F491" s="37">
        <f t="shared" si="104"/>
        <v>0</v>
      </c>
      <c r="G491" s="2"/>
      <c r="H491" s="12">
        <f t="shared" si="105"/>
        <v>0</v>
      </c>
      <c r="I491" s="2"/>
      <c r="J491" s="12">
        <v>3000</v>
      </c>
      <c r="K491" s="2"/>
      <c r="L491" s="13">
        <f t="shared" si="106"/>
        <v>1</v>
      </c>
      <c r="M491" s="2"/>
      <c r="N491" s="12">
        <f t="shared" si="107"/>
        <v>1500</v>
      </c>
      <c r="O491" s="2"/>
      <c r="P491" s="12">
        <v>1500</v>
      </c>
    </row>
    <row r="492" spans="1:17" x14ac:dyDescent="0.25">
      <c r="A492" t="s">
        <v>239</v>
      </c>
      <c r="B492" t="s">
        <v>387</v>
      </c>
      <c r="C492" t="s">
        <v>388</v>
      </c>
      <c r="D492" s="12">
        <v>16000</v>
      </c>
      <c r="E492" s="2"/>
      <c r="F492" s="37">
        <f t="shared" si="104"/>
        <v>0.33333333333333331</v>
      </c>
      <c r="G492" s="2"/>
      <c r="H492" s="12">
        <f t="shared" si="105"/>
        <v>4000</v>
      </c>
      <c r="I492" s="2"/>
      <c r="J492" s="12">
        <v>12000</v>
      </c>
      <c r="K492" s="2"/>
      <c r="L492" s="13">
        <v>1</v>
      </c>
      <c r="M492" s="2"/>
      <c r="N492" s="12">
        <f t="shared" si="107"/>
        <v>12000</v>
      </c>
      <c r="O492" s="2"/>
      <c r="P492" s="12">
        <v>0</v>
      </c>
      <c r="Q492" t="s">
        <v>417</v>
      </c>
    </row>
    <row r="493" spans="1:17" x14ac:dyDescent="0.25">
      <c r="A493" t="s">
        <v>239</v>
      </c>
      <c r="B493" t="s">
        <v>252</v>
      </c>
      <c r="C493" t="s">
        <v>253</v>
      </c>
      <c r="D493" s="12">
        <v>7500</v>
      </c>
      <c r="E493" s="2"/>
      <c r="F493" s="37">
        <f t="shared" si="104"/>
        <v>0</v>
      </c>
      <c r="G493" s="2"/>
      <c r="H493" s="12">
        <f t="shared" si="105"/>
        <v>0</v>
      </c>
      <c r="I493" s="2"/>
      <c r="J493" s="12">
        <v>7500</v>
      </c>
      <c r="K493" s="2"/>
      <c r="L493" s="13">
        <f t="shared" si="106"/>
        <v>7.1428571428571425E-2</v>
      </c>
      <c r="M493" s="2"/>
      <c r="N493" s="12">
        <f t="shared" si="107"/>
        <v>500</v>
      </c>
      <c r="O493" s="2"/>
      <c r="P493" s="12">
        <v>7000</v>
      </c>
    </row>
    <row r="494" spans="1:17" x14ac:dyDescent="0.25">
      <c r="A494" t="s">
        <v>239</v>
      </c>
      <c r="B494" t="s">
        <v>87</v>
      </c>
      <c r="C494" t="s">
        <v>88</v>
      </c>
      <c r="D494" s="47">
        <v>3000</v>
      </c>
      <c r="E494" s="2"/>
      <c r="F494" s="37">
        <f t="shared" si="104"/>
        <v>0</v>
      </c>
      <c r="G494" s="2"/>
      <c r="H494" s="12">
        <f t="shared" si="105"/>
        <v>0</v>
      </c>
      <c r="I494" s="2"/>
      <c r="J494" s="16">
        <v>3000</v>
      </c>
      <c r="K494" s="2"/>
      <c r="L494" s="13">
        <f t="shared" si="106"/>
        <v>0</v>
      </c>
      <c r="M494" s="2"/>
      <c r="N494" s="12">
        <f t="shared" si="107"/>
        <v>0</v>
      </c>
      <c r="O494" s="2"/>
      <c r="P494" s="12">
        <v>3000</v>
      </c>
    </row>
    <row r="495" spans="1:17" x14ac:dyDescent="0.25">
      <c r="A495" t="s">
        <v>239</v>
      </c>
      <c r="B495" t="s">
        <v>119</v>
      </c>
      <c r="C495" t="s">
        <v>120</v>
      </c>
      <c r="D495" s="47">
        <v>3000</v>
      </c>
      <c r="E495" s="2"/>
      <c r="F495" s="37">
        <f t="shared" si="104"/>
        <v>9</v>
      </c>
      <c r="G495" s="2"/>
      <c r="H495" s="12">
        <f t="shared" si="105"/>
        <v>2700</v>
      </c>
      <c r="I495" s="2"/>
      <c r="J495" s="16">
        <v>300</v>
      </c>
      <c r="K495" s="2"/>
      <c r="L495" s="13">
        <f t="shared" si="106"/>
        <v>0</v>
      </c>
      <c r="M495" s="2"/>
      <c r="N495" s="12">
        <f t="shared" si="107"/>
        <v>0</v>
      </c>
      <c r="O495" s="2"/>
      <c r="P495" s="12">
        <v>300</v>
      </c>
      <c r="Q495" t="s">
        <v>415</v>
      </c>
    </row>
    <row r="496" spans="1:17" x14ac:dyDescent="0.25">
      <c r="A496" t="s">
        <v>239</v>
      </c>
      <c r="B496" t="s">
        <v>121</v>
      </c>
      <c r="C496" t="s">
        <v>173</v>
      </c>
      <c r="D496" s="47">
        <v>5130</v>
      </c>
      <c r="E496" s="2"/>
      <c r="F496" s="37">
        <f t="shared" si="104"/>
        <v>0.14000000000000001</v>
      </c>
      <c r="G496" s="2"/>
      <c r="H496" s="12">
        <f t="shared" si="105"/>
        <v>630</v>
      </c>
      <c r="I496" s="2"/>
      <c r="J496" s="16">
        <v>4500</v>
      </c>
      <c r="K496" s="2"/>
      <c r="L496" s="13">
        <f t="shared" si="106"/>
        <v>0</v>
      </c>
      <c r="M496" s="2"/>
      <c r="N496" s="12">
        <f t="shared" si="107"/>
        <v>0</v>
      </c>
      <c r="O496" s="2"/>
      <c r="P496" s="12">
        <v>4500</v>
      </c>
    </row>
    <row r="497" spans="1:17" x14ac:dyDescent="0.25">
      <c r="A497" t="s">
        <v>239</v>
      </c>
      <c r="B497" t="s">
        <v>123</v>
      </c>
      <c r="C497" t="s">
        <v>124</v>
      </c>
      <c r="D497" s="47">
        <v>3800</v>
      </c>
      <c r="E497" s="2"/>
      <c r="F497" s="37">
        <f t="shared" si="104"/>
        <v>0</v>
      </c>
      <c r="G497" s="2"/>
      <c r="H497" s="12">
        <f t="shared" si="105"/>
        <v>0</v>
      </c>
      <c r="I497" s="2"/>
      <c r="J497" s="16">
        <v>3800</v>
      </c>
      <c r="K497" s="2"/>
      <c r="L497" s="13">
        <f t="shared" si="106"/>
        <v>-7.3145245559038665E-3</v>
      </c>
      <c r="M497" s="2"/>
      <c r="N497" s="12">
        <f t="shared" si="107"/>
        <v>-28</v>
      </c>
      <c r="O497" s="2"/>
      <c r="P497" s="12">
        <v>3828</v>
      </c>
    </row>
    <row r="498" spans="1:17" x14ac:dyDescent="0.25">
      <c r="A498" t="s">
        <v>239</v>
      </c>
      <c r="B498" t="s">
        <v>125</v>
      </c>
      <c r="C498" t="s">
        <v>126</v>
      </c>
      <c r="D498" s="47">
        <v>1000</v>
      </c>
      <c r="E498" s="2"/>
      <c r="F498" s="37">
        <f t="shared" si="104"/>
        <v>0.1111111111111111</v>
      </c>
      <c r="G498" s="2"/>
      <c r="H498" s="12">
        <f t="shared" si="105"/>
        <v>100</v>
      </c>
      <c r="I498" s="2"/>
      <c r="J498" s="16">
        <v>900</v>
      </c>
      <c r="K498" s="2"/>
      <c r="L498" s="13">
        <f t="shared" si="106"/>
        <v>0.16429495472186287</v>
      </c>
      <c r="M498" s="2"/>
      <c r="N498" s="12">
        <f t="shared" si="107"/>
        <v>127</v>
      </c>
      <c r="O498" s="2"/>
      <c r="P498" s="12">
        <v>773</v>
      </c>
    </row>
    <row r="499" spans="1:17" x14ac:dyDescent="0.25">
      <c r="A499" t="s">
        <v>239</v>
      </c>
      <c r="B499" t="s">
        <v>254</v>
      </c>
      <c r="C499" t="s">
        <v>255</v>
      </c>
      <c r="D499" s="47">
        <v>2200</v>
      </c>
      <c r="E499" s="2"/>
      <c r="F499" s="37">
        <f t="shared" si="104"/>
        <v>0</v>
      </c>
      <c r="G499" s="2"/>
      <c r="H499" s="12">
        <f t="shared" si="105"/>
        <v>0</v>
      </c>
      <c r="I499" s="2"/>
      <c r="J499" s="16">
        <v>2200</v>
      </c>
      <c r="K499" s="2"/>
      <c r="L499" s="13">
        <f t="shared" si="106"/>
        <v>0</v>
      </c>
      <c r="M499" s="2"/>
      <c r="N499" s="12">
        <f t="shared" si="107"/>
        <v>0</v>
      </c>
      <c r="O499" s="2"/>
      <c r="P499" s="12">
        <v>2200</v>
      </c>
    </row>
    <row r="500" spans="1:17" x14ac:dyDescent="0.25">
      <c r="A500" t="s">
        <v>239</v>
      </c>
      <c r="B500" t="s">
        <v>69</v>
      </c>
      <c r="C500" t="s">
        <v>70</v>
      </c>
      <c r="D500" s="47">
        <v>23000</v>
      </c>
      <c r="E500" s="2"/>
      <c r="F500" s="37">
        <f t="shared" si="104"/>
        <v>0</v>
      </c>
      <c r="G500" s="2"/>
      <c r="H500" s="12">
        <f t="shared" si="105"/>
        <v>0</v>
      </c>
      <c r="I500" s="2"/>
      <c r="J500" s="16">
        <f>5000+10000+8000</f>
        <v>23000</v>
      </c>
      <c r="K500" s="2"/>
      <c r="L500" s="13">
        <f t="shared" si="106"/>
        <v>3.6</v>
      </c>
      <c r="M500" s="2"/>
      <c r="N500" s="12">
        <f t="shared" si="107"/>
        <v>18000</v>
      </c>
      <c r="O500" s="2"/>
      <c r="P500" s="12">
        <v>5000</v>
      </c>
      <c r="Q500" t="s">
        <v>413</v>
      </c>
    </row>
    <row r="501" spans="1:17" x14ac:dyDescent="0.25">
      <c r="A501" t="s">
        <v>239</v>
      </c>
      <c r="B501" t="s">
        <v>216</v>
      </c>
      <c r="C501" t="s">
        <v>256</v>
      </c>
      <c r="D501" s="47">
        <v>9200</v>
      </c>
      <c r="E501" s="2"/>
      <c r="F501" s="37">
        <f t="shared" si="104"/>
        <v>0</v>
      </c>
      <c r="G501" s="2"/>
      <c r="H501" s="12">
        <f t="shared" si="105"/>
        <v>0</v>
      </c>
      <c r="I501" s="2"/>
      <c r="J501" s="16">
        <v>9200</v>
      </c>
      <c r="K501" s="2"/>
      <c r="L501" s="13">
        <f t="shared" si="106"/>
        <v>0</v>
      </c>
      <c r="M501" s="2"/>
      <c r="N501" s="12">
        <f t="shared" si="107"/>
        <v>0</v>
      </c>
      <c r="O501" s="2"/>
      <c r="P501" s="12">
        <v>9200</v>
      </c>
    </row>
    <row r="502" spans="1:17" x14ac:dyDescent="0.25">
      <c r="A502" t="s">
        <v>239</v>
      </c>
      <c r="B502" t="s">
        <v>257</v>
      </c>
      <c r="C502" t="s">
        <v>258</v>
      </c>
      <c r="D502" s="47">
        <v>5000</v>
      </c>
      <c r="E502" s="2"/>
      <c r="F502" s="37">
        <f t="shared" si="104"/>
        <v>0</v>
      </c>
      <c r="G502" s="2"/>
      <c r="H502" s="12">
        <f t="shared" si="105"/>
        <v>0</v>
      </c>
      <c r="I502" s="2"/>
      <c r="J502" s="16">
        <v>5000</v>
      </c>
      <c r="K502" s="2"/>
      <c r="L502" s="13">
        <f t="shared" si="106"/>
        <v>0</v>
      </c>
      <c r="M502" s="2"/>
      <c r="N502" s="12">
        <f t="shared" si="107"/>
        <v>0</v>
      </c>
      <c r="O502" s="2"/>
      <c r="P502" s="12">
        <v>5000</v>
      </c>
    </row>
    <row r="503" spans="1:17" x14ac:dyDescent="0.25">
      <c r="A503" t="s">
        <v>239</v>
      </c>
      <c r="B503" t="s">
        <v>259</v>
      </c>
      <c r="C503" t="s">
        <v>260</v>
      </c>
      <c r="D503" s="47">
        <v>4800</v>
      </c>
      <c r="E503" s="2"/>
      <c r="F503" s="37">
        <f t="shared" si="104"/>
        <v>0</v>
      </c>
      <c r="G503" s="2"/>
      <c r="H503" s="12">
        <f t="shared" si="105"/>
        <v>0</v>
      </c>
      <c r="I503" s="2"/>
      <c r="J503" s="16">
        <v>4800</v>
      </c>
      <c r="K503" s="2"/>
      <c r="L503" s="13">
        <f t="shared" si="106"/>
        <v>2.3454157782515993E-2</v>
      </c>
      <c r="M503" s="2"/>
      <c r="N503" s="12">
        <f t="shared" si="107"/>
        <v>110</v>
      </c>
      <c r="O503" s="2"/>
      <c r="P503" s="12">
        <v>4690</v>
      </c>
    </row>
    <row r="504" spans="1:17" x14ac:dyDescent="0.25">
      <c r="A504" t="s">
        <v>239</v>
      </c>
      <c r="B504" t="s">
        <v>233</v>
      </c>
      <c r="C504" t="s">
        <v>234</v>
      </c>
      <c r="D504" s="47">
        <v>1200</v>
      </c>
      <c r="E504" s="2"/>
      <c r="F504" s="37">
        <f t="shared" si="104"/>
        <v>0</v>
      </c>
      <c r="G504" s="2"/>
      <c r="H504" s="12">
        <f t="shared" si="105"/>
        <v>0</v>
      </c>
      <c r="I504" s="2"/>
      <c r="J504" s="16">
        <v>1200</v>
      </c>
      <c r="K504" s="2"/>
      <c r="L504" s="13">
        <f t="shared" si="106"/>
        <v>4.3478260869565216E-2</v>
      </c>
      <c r="M504" s="2"/>
      <c r="N504" s="12">
        <f t="shared" si="107"/>
        <v>50</v>
      </c>
      <c r="O504" s="2"/>
      <c r="P504" s="12">
        <v>1150</v>
      </c>
    </row>
    <row r="505" spans="1:17" ht="30" x14ac:dyDescent="0.25">
      <c r="A505" t="s">
        <v>239</v>
      </c>
      <c r="B505" t="s">
        <v>71</v>
      </c>
      <c r="C505" t="s">
        <v>72</v>
      </c>
      <c r="D505" s="47">
        <f>12000+8000</f>
        <v>20000</v>
      </c>
      <c r="E505" s="2"/>
      <c r="F505" s="37">
        <f t="shared" si="104"/>
        <v>-0.7142857142857143</v>
      </c>
      <c r="G505" s="2"/>
      <c r="H505" s="12">
        <f t="shared" si="105"/>
        <v>-50000</v>
      </c>
      <c r="I505" s="2"/>
      <c r="J505" s="16">
        <v>70000</v>
      </c>
      <c r="K505" s="2"/>
      <c r="L505" s="13">
        <f t="shared" si="106"/>
        <v>5.0344827586206895</v>
      </c>
      <c r="M505" s="2"/>
      <c r="N505" s="12">
        <f t="shared" si="107"/>
        <v>58400</v>
      </c>
      <c r="O505" s="2"/>
      <c r="P505" s="12">
        <v>11600</v>
      </c>
      <c r="Q505" s="21" t="s">
        <v>389</v>
      </c>
    </row>
    <row r="506" spans="1:17" x14ac:dyDescent="0.25">
      <c r="A506" s="20" t="s">
        <v>239</v>
      </c>
      <c r="B506" t="s">
        <v>387</v>
      </c>
      <c r="C506" t="s">
        <v>420</v>
      </c>
      <c r="D506" s="47">
        <v>2500</v>
      </c>
      <c r="E506" s="2"/>
      <c r="F506" s="40">
        <v>100</v>
      </c>
      <c r="G506" s="2"/>
      <c r="H506" s="12">
        <f t="shared" si="105"/>
        <v>2500</v>
      </c>
      <c r="I506" s="2"/>
      <c r="J506" s="16">
        <v>0</v>
      </c>
      <c r="K506" s="2"/>
      <c r="L506" s="13">
        <v>1</v>
      </c>
      <c r="M506" s="2"/>
      <c r="N506" s="12">
        <f t="shared" si="107"/>
        <v>0</v>
      </c>
      <c r="O506" s="2"/>
      <c r="P506" s="12">
        <v>0</v>
      </c>
      <c r="Q506" s="21"/>
    </row>
    <row r="507" spans="1:17" x14ac:dyDescent="0.25">
      <c r="D507" s="10"/>
      <c r="E507" s="2"/>
      <c r="F507" s="10"/>
      <c r="G507" s="2"/>
      <c r="H507" s="10"/>
      <c r="I507" s="2"/>
      <c r="J507" s="10"/>
      <c r="K507" s="2"/>
      <c r="L507" s="11"/>
      <c r="M507" s="2"/>
      <c r="N507" s="11"/>
      <c r="O507" s="2"/>
      <c r="P507" s="11"/>
    </row>
    <row r="508" spans="1:17" x14ac:dyDescent="0.25">
      <c r="A508" t="s">
        <v>5</v>
      </c>
      <c r="B508" t="s">
        <v>5</v>
      </c>
      <c r="C508" s="1" t="s">
        <v>379</v>
      </c>
      <c r="D508" s="8">
        <f>SUM(D468:D506)</f>
        <v>926594</v>
      </c>
      <c r="E508" s="2"/>
      <c r="F508" s="15">
        <f>H508/J508</f>
        <v>-3.5517260043550852E-2</v>
      </c>
      <c r="G508" s="2"/>
      <c r="H508" s="8">
        <f>SUM(H468:H506)</f>
        <v>-34122</v>
      </c>
      <c r="I508" s="2"/>
      <c r="J508" s="8">
        <f>SUM(J468:J506)</f>
        <v>960716</v>
      </c>
      <c r="K508" s="2"/>
      <c r="L508" s="15">
        <f>N508/P508</f>
        <v>9.2159591109170935E-2</v>
      </c>
      <c r="M508" s="2"/>
      <c r="N508" s="8">
        <f>SUM(N468:N506)</f>
        <v>81068</v>
      </c>
      <c r="O508" s="2"/>
      <c r="P508" s="8">
        <f>SUM(P468:P506)</f>
        <v>879648</v>
      </c>
    </row>
    <row r="509" spans="1:17" x14ac:dyDescent="0.25">
      <c r="D509" s="2"/>
      <c r="E509" s="2"/>
      <c r="F509" s="2"/>
      <c r="G509" s="2"/>
      <c r="H509" s="2"/>
      <c r="I509" s="2"/>
      <c r="J509" s="2"/>
      <c r="K509" s="2"/>
      <c r="M509" s="2"/>
      <c r="O509" s="2"/>
    </row>
    <row r="510" spans="1:17" x14ac:dyDescent="0.25">
      <c r="A510" t="s">
        <v>261</v>
      </c>
      <c r="B510" t="s">
        <v>262</v>
      </c>
      <c r="C510" t="s">
        <v>263</v>
      </c>
      <c r="D510" s="47">
        <v>50000</v>
      </c>
      <c r="E510" s="2"/>
      <c r="F510" s="37">
        <f t="shared" ref="F510:F515" si="108">H510/J510</f>
        <v>0.1111111111111111</v>
      </c>
      <c r="G510" s="2"/>
      <c r="H510" s="12">
        <f t="shared" ref="H510:H515" si="109">D510-J510</f>
        <v>5000</v>
      </c>
      <c r="I510" s="2"/>
      <c r="J510" s="16">
        <v>45000</v>
      </c>
      <c r="K510" s="2"/>
      <c r="L510" s="13">
        <f t="shared" ref="L510:L514" si="110">N510/P510</f>
        <v>0</v>
      </c>
      <c r="M510" s="2"/>
      <c r="N510" s="12">
        <f t="shared" ref="N510:N515" si="111">J510-P510</f>
        <v>0</v>
      </c>
      <c r="O510" s="2"/>
      <c r="P510" s="12">
        <v>45000</v>
      </c>
    </row>
    <row r="511" spans="1:17" x14ac:dyDescent="0.25">
      <c r="A511" t="s">
        <v>261</v>
      </c>
      <c r="B511" t="s">
        <v>264</v>
      </c>
      <c r="C511" t="s">
        <v>265</v>
      </c>
      <c r="D511" s="47">
        <v>2000</v>
      </c>
      <c r="E511" s="2"/>
      <c r="F511" s="37">
        <f t="shared" si="108"/>
        <v>0</v>
      </c>
      <c r="G511" s="2"/>
      <c r="H511" s="12">
        <f t="shared" si="109"/>
        <v>0</v>
      </c>
      <c r="I511" s="2"/>
      <c r="J511" s="16">
        <v>2000</v>
      </c>
      <c r="K511" s="2"/>
      <c r="L511" s="13">
        <f t="shared" si="110"/>
        <v>0</v>
      </c>
      <c r="M511" s="2"/>
      <c r="N511" s="12">
        <f t="shared" si="111"/>
        <v>0</v>
      </c>
      <c r="O511" s="2"/>
      <c r="P511" s="12">
        <v>2000</v>
      </c>
    </row>
    <row r="512" spans="1:17" x14ac:dyDescent="0.25">
      <c r="A512" t="s">
        <v>261</v>
      </c>
      <c r="B512" t="s">
        <v>266</v>
      </c>
      <c r="C512" t="s">
        <v>267</v>
      </c>
      <c r="D512" s="47">
        <v>1000</v>
      </c>
      <c r="E512" s="2"/>
      <c r="F512" s="37">
        <f t="shared" si="108"/>
        <v>0</v>
      </c>
      <c r="G512" s="2"/>
      <c r="H512" s="12">
        <f t="shared" si="109"/>
        <v>0</v>
      </c>
      <c r="I512" s="2"/>
      <c r="J512" s="16">
        <v>1000</v>
      </c>
      <c r="K512" s="2"/>
      <c r="L512" s="13">
        <f t="shared" si="110"/>
        <v>0</v>
      </c>
      <c r="M512" s="2"/>
      <c r="N512" s="12">
        <f t="shared" si="111"/>
        <v>0</v>
      </c>
      <c r="O512" s="2"/>
      <c r="P512" s="12">
        <v>1000</v>
      </c>
    </row>
    <row r="513" spans="1:17" x14ac:dyDescent="0.25">
      <c r="A513" t="s">
        <v>261</v>
      </c>
      <c r="B513" t="s">
        <v>268</v>
      </c>
      <c r="C513" t="s">
        <v>269</v>
      </c>
      <c r="D513" s="47">
        <v>2800</v>
      </c>
      <c r="E513" s="2"/>
      <c r="F513" s="37">
        <f t="shared" si="108"/>
        <v>0</v>
      </c>
      <c r="G513" s="2"/>
      <c r="H513" s="12">
        <f t="shared" si="109"/>
        <v>0</v>
      </c>
      <c r="I513" s="2"/>
      <c r="J513" s="16">
        <v>2800</v>
      </c>
      <c r="K513" s="2"/>
      <c r="L513" s="13">
        <f t="shared" si="110"/>
        <v>0</v>
      </c>
      <c r="M513" s="2"/>
      <c r="N513" s="12">
        <f t="shared" si="111"/>
        <v>0</v>
      </c>
      <c r="O513" s="2"/>
      <c r="P513" s="12">
        <v>2800</v>
      </c>
    </row>
    <row r="514" spans="1:17" x14ac:dyDescent="0.25">
      <c r="A514" t="s">
        <v>261</v>
      </c>
      <c r="B514" t="s">
        <v>270</v>
      </c>
      <c r="C514" t="s">
        <v>271</v>
      </c>
      <c r="D514" s="47">
        <v>8879</v>
      </c>
      <c r="E514" s="2"/>
      <c r="F514" s="37">
        <f t="shared" si="108"/>
        <v>0</v>
      </c>
      <c r="G514" s="2"/>
      <c r="H514" s="12">
        <f t="shared" si="109"/>
        <v>0</v>
      </c>
      <c r="I514" s="2"/>
      <c r="J514" s="16">
        <v>8879</v>
      </c>
      <c r="K514" s="2"/>
      <c r="L514" s="13">
        <f t="shared" si="110"/>
        <v>2.2101991481524117E-2</v>
      </c>
      <c r="M514" s="2"/>
      <c r="N514" s="12">
        <f t="shared" si="111"/>
        <v>192</v>
      </c>
      <c r="O514" s="2"/>
      <c r="P514" s="12">
        <v>8687</v>
      </c>
    </row>
    <row r="515" spans="1:17" x14ac:dyDescent="0.25">
      <c r="A515" t="s">
        <v>261</v>
      </c>
      <c r="B515" t="s">
        <v>390</v>
      </c>
      <c r="C515" t="s">
        <v>391</v>
      </c>
      <c r="D515" s="47">
        <v>500</v>
      </c>
      <c r="E515" s="2"/>
      <c r="F515" s="37">
        <f t="shared" si="108"/>
        <v>0</v>
      </c>
      <c r="G515" s="2"/>
      <c r="H515" s="12">
        <f t="shared" si="109"/>
        <v>0</v>
      </c>
      <c r="I515" s="2"/>
      <c r="J515" s="16">
        <v>500</v>
      </c>
      <c r="K515" s="2"/>
      <c r="L515" s="13">
        <v>1</v>
      </c>
      <c r="M515" s="2"/>
      <c r="N515" s="12">
        <f t="shared" si="111"/>
        <v>500</v>
      </c>
      <c r="O515" s="2"/>
      <c r="P515" s="12">
        <v>0</v>
      </c>
    </row>
    <row r="516" spans="1:17" x14ac:dyDescent="0.25">
      <c r="D516" s="2"/>
      <c r="E516" s="2"/>
      <c r="F516" s="2"/>
      <c r="G516" s="2"/>
      <c r="H516" s="2"/>
      <c r="I516" s="2"/>
      <c r="J516" s="2"/>
      <c r="K516" s="2"/>
      <c r="M516" s="2"/>
      <c r="O516" s="2"/>
    </row>
    <row r="517" spans="1:17" x14ac:dyDescent="0.25">
      <c r="A517" t="s">
        <v>5</v>
      </c>
      <c r="B517" t="s">
        <v>5</v>
      </c>
      <c r="C517" s="1" t="s">
        <v>378</v>
      </c>
      <c r="D517" s="8">
        <f>SUM(D510:D515)</f>
        <v>65179</v>
      </c>
      <c r="E517" s="2"/>
      <c r="F517" s="15">
        <f>H517/J517</f>
        <v>8.3085461705910704E-2</v>
      </c>
      <c r="G517" s="2"/>
      <c r="H517" s="8">
        <f>SUM(H510:H515)</f>
        <v>5000</v>
      </c>
      <c r="I517" s="2"/>
      <c r="J517" s="8">
        <f>SUM(J510:J515)</f>
        <v>60179</v>
      </c>
      <c r="K517" s="2"/>
      <c r="L517" s="15">
        <f>N517/P517</f>
        <v>3.2275959453325937E-3</v>
      </c>
      <c r="M517" s="2"/>
      <c r="N517" s="8">
        <f>SUM(N510:N514)</f>
        <v>192</v>
      </c>
      <c r="O517" s="2"/>
      <c r="P517" s="8">
        <f>SUM(P510:P515)</f>
        <v>59487</v>
      </c>
    </row>
    <row r="518" spans="1:17" x14ac:dyDescent="0.25">
      <c r="D518" s="2"/>
      <c r="E518" s="2"/>
      <c r="F518" s="2"/>
      <c r="G518" s="2"/>
      <c r="H518" s="2"/>
      <c r="I518" s="2"/>
      <c r="J518" s="2"/>
      <c r="K518" s="2"/>
      <c r="M518" s="2"/>
      <c r="O518" s="2"/>
    </row>
    <row r="519" spans="1:17" x14ac:dyDescent="0.25">
      <c r="A519" t="s">
        <v>272</v>
      </c>
      <c r="B519" t="s">
        <v>57</v>
      </c>
      <c r="C519" t="s">
        <v>58</v>
      </c>
      <c r="D519" s="47">
        <f>ROUNDUP((76783.62),0)</f>
        <v>76784</v>
      </c>
      <c r="E519" s="2"/>
      <c r="F519" s="37">
        <f t="shared" ref="F519:F533" si="112">H519/J519</f>
        <v>0</v>
      </c>
      <c r="G519" s="2"/>
      <c r="H519" s="12">
        <f t="shared" ref="H519:H533" si="113">D519-J519</f>
        <v>0</v>
      </c>
      <c r="I519" s="2"/>
      <c r="J519" s="16">
        <f>ROUNDUP((76783.62),0)</f>
        <v>76784</v>
      </c>
      <c r="K519" s="2"/>
      <c r="L519" s="13">
        <f t="shared" ref="L519:L533" si="114">N519/P519</f>
        <v>2.9883577445141907E-2</v>
      </c>
      <c r="M519" s="2"/>
      <c r="N519" s="12">
        <f t="shared" ref="N519:N533" si="115">J519-P519</f>
        <v>2228</v>
      </c>
      <c r="O519" s="2"/>
      <c r="P519" s="9">
        <v>74556</v>
      </c>
      <c r="Q519" t="s">
        <v>355</v>
      </c>
    </row>
    <row r="520" spans="1:17" x14ac:dyDescent="0.25">
      <c r="A520" t="s">
        <v>272</v>
      </c>
      <c r="B520" t="s">
        <v>34</v>
      </c>
      <c r="C520" t="s">
        <v>35</v>
      </c>
      <c r="D520" s="47">
        <f>ROUNDUP((58.8),0)</f>
        <v>59</v>
      </c>
      <c r="E520" s="2"/>
      <c r="F520" s="37">
        <f t="shared" si="112"/>
        <v>0</v>
      </c>
      <c r="G520" s="2"/>
      <c r="H520" s="12">
        <f t="shared" si="113"/>
        <v>0</v>
      </c>
      <c r="I520" s="2"/>
      <c r="J520" s="16">
        <f>ROUNDUP((58.8),0)</f>
        <v>59</v>
      </c>
      <c r="K520" s="2"/>
      <c r="L520" s="13">
        <f t="shared" si="114"/>
        <v>-0.21333333333333335</v>
      </c>
      <c r="M520" s="2"/>
      <c r="N520" s="12">
        <f t="shared" si="115"/>
        <v>-16</v>
      </c>
      <c r="O520" s="2"/>
      <c r="P520" s="9">
        <v>75</v>
      </c>
    </row>
    <row r="521" spans="1:17" x14ac:dyDescent="0.25">
      <c r="A521" t="s">
        <v>272</v>
      </c>
      <c r="B521" t="s">
        <v>9</v>
      </c>
      <c r="C521" t="s">
        <v>10</v>
      </c>
      <c r="D521" s="47">
        <f>ROUNDUP((359.22),0)</f>
        <v>360</v>
      </c>
      <c r="E521" s="2"/>
      <c r="F521" s="37">
        <f t="shared" si="112"/>
        <v>0</v>
      </c>
      <c r="G521" s="2"/>
      <c r="H521" s="12">
        <f t="shared" si="113"/>
        <v>0</v>
      </c>
      <c r="I521" s="2"/>
      <c r="J521" s="16">
        <f>ROUNDUP((359.22),0)</f>
        <v>360</v>
      </c>
      <c r="K521" s="2"/>
      <c r="L521" s="13">
        <f t="shared" si="114"/>
        <v>0.68224299065420557</v>
      </c>
      <c r="M521" s="2"/>
      <c r="N521" s="12">
        <f t="shared" si="115"/>
        <v>146</v>
      </c>
      <c r="O521" s="2"/>
      <c r="P521" s="9">
        <v>214</v>
      </c>
    </row>
    <row r="522" spans="1:17" x14ac:dyDescent="0.25">
      <c r="A522" t="s">
        <v>272</v>
      </c>
      <c r="B522" t="s">
        <v>36</v>
      </c>
      <c r="C522" t="s">
        <v>37</v>
      </c>
      <c r="D522" s="47">
        <f>ROUNDUP((7831.93),0)</f>
        <v>7832</v>
      </c>
      <c r="E522" s="2"/>
      <c r="F522" s="37">
        <f t="shared" si="112"/>
        <v>0</v>
      </c>
      <c r="G522" s="2"/>
      <c r="H522" s="12">
        <f t="shared" si="113"/>
        <v>0</v>
      </c>
      <c r="I522" s="2"/>
      <c r="J522" s="16">
        <f>ROUNDUP((7831.93),0)</f>
        <v>7832</v>
      </c>
      <c r="K522" s="2"/>
      <c r="L522" s="13">
        <f t="shared" si="114"/>
        <v>2.9848783694937542E-2</v>
      </c>
      <c r="M522" s="2"/>
      <c r="N522" s="12">
        <f t="shared" si="115"/>
        <v>227</v>
      </c>
      <c r="O522" s="2"/>
      <c r="P522" s="9">
        <v>7605</v>
      </c>
    </row>
    <row r="523" spans="1:17" x14ac:dyDescent="0.25">
      <c r="A523" t="s">
        <v>272</v>
      </c>
      <c r="B523" t="s">
        <v>38</v>
      </c>
      <c r="C523" t="s">
        <v>39</v>
      </c>
      <c r="D523" s="47">
        <f>ROUNDUP((3230.47),0)</f>
        <v>3231</v>
      </c>
      <c r="E523" s="2"/>
      <c r="F523" s="37">
        <f t="shared" si="112"/>
        <v>0</v>
      </c>
      <c r="G523" s="2"/>
      <c r="H523" s="12">
        <f t="shared" si="113"/>
        <v>0</v>
      </c>
      <c r="I523" s="2"/>
      <c r="J523" s="16">
        <f>ROUNDUP((3230.47),0)</f>
        <v>3231</v>
      </c>
      <c r="K523" s="2"/>
      <c r="L523" s="13">
        <f t="shared" si="114"/>
        <v>3.0293367346938774E-2</v>
      </c>
      <c r="M523" s="2"/>
      <c r="N523" s="12">
        <f t="shared" si="115"/>
        <v>95</v>
      </c>
      <c r="O523" s="2"/>
      <c r="P523" s="9">
        <v>3136</v>
      </c>
    </row>
    <row r="524" spans="1:17" x14ac:dyDescent="0.25">
      <c r="A524" t="s">
        <v>272</v>
      </c>
      <c r="B524" t="s">
        <v>11</v>
      </c>
      <c r="C524" t="s">
        <v>12</v>
      </c>
      <c r="D524" s="47">
        <f>ROUNDUP((5873.95),0)</f>
        <v>5874</v>
      </c>
      <c r="E524" s="2"/>
      <c r="F524" s="37">
        <f t="shared" si="112"/>
        <v>0</v>
      </c>
      <c r="G524" s="2"/>
      <c r="H524" s="12">
        <f t="shared" si="113"/>
        <v>0</v>
      </c>
      <c r="I524" s="2"/>
      <c r="J524" s="16">
        <f>ROUNDUP((5873.95),0)</f>
        <v>5874</v>
      </c>
      <c r="K524" s="2"/>
      <c r="L524" s="13">
        <f t="shared" si="114"/>
        <v>2.9984218832193581E-2</v>
      </c>
      <c r="M524" s="2"/>
      <c r="N524" s="12">
        <f t="shared" si="115"/>
        <v>171</v>
      </c>
      <c r="O524" s="2"/>
      <c r="P524" s="9">
        <v>5703</v>
      </c>
    </row>
    <row r="525" spans="1:17" x14ac:dyDescent="0.25">
      <c r="A525" t="s">
        <v>272</v>
      </c>
      <c r="B525" t="s">
        <v>15</v>
      </c>
      <c r="C525" t="s">
        <v>16</v>
      </c>
      <c r="D525" s="47">
        <v>9000</v>
      </c>
      <c r="E525" s="2"/>
      <c r="F525" s="37">
        <f t="shared" si="112"/>
        <v>0</v>
      </c>
      <c r="G525" s="2"/>
      <c r="H525" s="12">
        <f t="shared" si="113"/>
        <v>0</v>
      </c>
      <c r="I525" s="2"/>
      <c r="J525" s="16">
        <v>9000</v>
      </c>
      <c r="K525" s="2"/>
      <c r="L525" s="13">
        <f t="shared" si="114"/>
        <v>1.1428571428571428</v>
      </c>
      <c r="M525" s="2"/>
      <c r="N525" s="12">
        <f t="shared" si="115"/>
        <v>4800</v>
      </c>
      <c r="O525" s="2"/>
      <c r="P525" s="9">
        <v>4200</v>
      </c>
    </row>
    <row r="526" spans="1:17" x14ac:dyDescent="0.25">
      <c r="A526" t="s">
        <v>272</v>
      </c>
      <c r="B526" t="s">
        <v>19</v>
      </c>
      <c r="C526" t="s">
        <v>20</v>
      </c>
      <c r="D526" s="47">
        <v>500</v>
      </c>
      <c r="E526" s="2"/>
      <c r="F526" s="37">
        <f t="shared" si="112"/>
        <v>0</v>
      </c>
      <c r="G526" s="2"/>
      <c r="H526" s="12">
        <f t="shared" si="113"/>
        <v>0</v>
      </c>
      <c r="I526" s="2"/>
      <c r="J526" s="16">
        <v>500</v>
      </c>
      <c r="K526" s="2"/>
      <c r="L526" s="13">
        <f t="shared" si="114"/>
        <v>0.66666666666666663</v>
      </c>
      <c r="M526" s="2"/>
      <c r="N526" s="12">
        <f t="shared" si="115"/>
        <v>200</v>
      </c>
      <c r="O526" s="2"/>
      <c r="P526" s="9">
        <v>300</v>
      </c>
    </row>
    <row r="527" spans="1:17" x14ac:dyDescent="0.25">
      <c r="A527" t="s">
        <v>272</v>
      </c>
      <c r="B527" t="s">
        <v>21</v>
      </c>
      <c r="C527" t="s">
        <v>22</v>
      </c>
      <c r="D527" s="47">
        <v>10100</v>
      </c>
      <c r="E527" s="2"/>
      <c r="F527" s="37">
        <f t="shared" si="112"/>
        <v>0</v>
      </c>
      <c r="G527" s="2"/>
      <c r="H527" s="12">
        <f t="shared" si="113"/>
        <v>0</v>
      </c>
      <c r="I527" s="2"/>
      <c r="J527" s="16">
        <v>10100</v>
      </c>
      <c r="K527" s="2"/>
      <c r="L527" s="13">
        <f t="shared" si="114"/>
        <v>0.68333333333333335</v>
      </c>
      <c r="M527" s="2"/>
      <c r="N527" s="12">
        <f t="shared" si="115"/>
        <v>4100</v>
      </c>
      <c r="O527" s="2"/>
      <c r="P527" s="9">
        <v>6000</v>
      </c>
    </row>
    <row r="528" spans="1:17" x14ac:dyDescent="0.25">
      <c r="A528" t="s">
        <v>272</v>
      </c>
      <c r="B528" t="s">
        <v>40</v>
      </c>
      <c r="C528" t="s">
        <v>41</v>
      </c>
      <c r="D528" s="47">
        <v>695</v>
      </c>
      <c r="E528" s="2"/>
      <c r="F528" s="37">
        <f t="shared" si="112"/>
        <v>0</v>
      </c>
      <c r="G528" s="2"/>
      <c r="H528" s="12">
        <f t="shared" si="113"/>
        <v>0</v>
      </c>
      <c r="I528" s="2"/>
      <c r="J528" s="16">
        <v>695</v>
      </c>
      <c r="K528" s="2"/>
      <c r="L528" s="13">
        <f t="shared" si="114"/>
        <v>0</v>
      </c>
      <c r="M528" s="2"/>
      <c r="N528" s="12">
        <f t="shared" si="115"/>
        <v>0</v>
      </c>
      <c r="O528" s="2"/>
      <c r="P528" s="9">
        <v>695</v>
      </c>
    </row>
    <row r="529" spans="1:16" x14ac:dyDescent="0.25">
      <c r="A529" t="s">
        <v>272</v>
      </c>
      <c r="B529" t="s">
        <v>23</v>
      </c>
      <c r="C529" t="s">
        <v>273</v>
      </c>
      <c r="D529" s="47">
        <v>3500</v>
      </c>
      <c r="E529" s="2"/>
      <c r="F529" s="37">
        <f t="shared" si="112"/>
        <v>0</v>
      </c>
      <c r="G529" s="2"/>
      <c r="H529" s="12">
        <f t="shared" si="113"/>
        <v>0</v>
      </c>
      <c r="I529" s="2"/>
      <c r="J529" s="16">
        <v>3500</v>
      </c>
      <c r="K529" s="2"/>
      <c r="L529" s="13">
        <f t="shared" si="114"/>
        <v>0</v>
      </c>
      <c r="M529" s="2"/>
      <c r="N529" s="12">
        <f t="shared" si="115"/>
        <v>0</v>
      </c>
      <c r="O529" s="2"/>
      <c r="P529" s="9">
        <v>3500</v>
      </c>
    </row>
    <row r="530" spans="1:16" x14ac:dyDescent="0.25">
      <c r="A530" t="s">
        <v>272</v>
      </c>
      <c r="B530" t="s">
        <v>42</v>
      </c>
      <c r="C530" t="s">
        <v>43</v>
      </c>
      <c r="D530" s="47">
        <v>2500</v>
      </c>
      <c r="E530" s="2"/>
      <c r="F530" s="37">
        <f t="shared" si="112"/>
        <v>0</v>
      </c>
      <c r="G530" s="2"/>
      <c r="H530" s="12">
        <f t="shared" si="113"/>
        <v>0</v>
      </c>
      <c r="I530" s="2"/>
      <c r="J530" s="16">
        <v>2500</v>
      </c>
      <c r="K530" s="2"/>
      <c r="L530" s="13">
        <f t="shared" si="114"/>
        <v>0.1111111111111111</v>
      </c>
      <c r="M530" s="2"/>
      <c r="N530" s="12">
        <f t="shared" si="115"/>
        <v>250</v>
      </c>
      <c r="O530" s="2"/>
      <c r="P530" s="9">
        <v>2250</v>
      </c>
    </row>
    <row r="531" spans="1:16" x14ac:dyDescent="0.25">
      <c r="A531" t="s">
        <v>272</v>
      </c>
      <c r="B531" t="s">
        <v>274</v>
      </c>
      <c r="C531" t="s">
        <v>275</v>
      </c>
      <c r="D531" s="47">
        <v>10810</v>
      </c>
      <c r="E531" s="2"/>
      <c r="F531" s="37">
        <f t="shared" si="112"/>
        <v>0</v>
      </c>
      <c r="G531" s="2"/>
      <c r="H531" s="12">
        <f t="shared" si="113"/>
        <v>0</v>
      </c>
      <c r="I531" s="2"/>
      <c r="J531" s="16">
        <v>10810</v>
      </c>
      <c r="K531" s="2"/>
      <c r="L531" s="13">
        <f t="shared" si="114"/>
        <v>3.28683355627747E-2</v>
      </c>
      <c r="M531" s="2"/>
      <c r="N531" s="12">
        <f t="shared" si="115"/>
        <v>344</v>
      </c>
      <c r="O531" s="2"/>
      <c r="P531" s="9">
        <v>10466</v>
      </c>
    </row>
    <row r="532" spans="1:16" x14ac:dyDescent="0.25">
      <c r="A532" t="s">
        <v>272</v>
      </c>
      <c r="B532" t="s">
        <v>65</v>
      </c>
      <c r="C532" t="s">
        <v>276</v>
      </c>
      <c r="D532" s="47">
        <v>1200</v>
      </c>
      <c r="E532" s="2"/>
      <c r="F532" s="37">
        <f t="shared" si="112"/>
        <v>0</v>
      </c>
      <c r="G532" s="2"/>
      <c r="H532" s="12">
        <f t="shared" si="113"/>
        <v>0</v>
      </c>
      <c r="I532" s="2"/>
      <c r="J532" s="16">
        <v>1200</v>
      </c>
      <c r="K532" s="2"/>
      <c r="L532" s="13">
        <f t="shared" si="114"/>
        <v>1.2857142857142858</v>
      </c>
      <c r="M532" s="2"/>
      <c r="N532" s="12">
        <f t="shared" si="115"/>
        <v>675</v>
      </c>
      <c r="O532" s="2"/>
      <c r="P532" s="9">
        <v>525</v>
      </c>
    </row>
    <row r="533" spans="1:16" x14ac:dyDescent="0.25">
      <c r="A533" t="s">
        <v>272</v>
      </c>
      <c r="B533" t="s">
        <v>44</v>
      </c>
      <c r="C533" t="s">
        <v>45</v>
      </c>
      <c r="D533" s="47">
        <v>5500</v>
      </c>
      <c r="E533" s="2"/>
      <c r="F533" s="37">
        <f t="shared" si="112"/>
        <v>0</v>
      </c>
      <c r="G533" s="2"/>
      <c r="H533" s="12">
        <f t="shared" si="113"/>
        <v>0</v>
      </c>
      <c r="I533" s="2"/>
      <c r="J533" s="16">
        <v>5500</v>
      </c>
      <c r="K533" s="2"/>
      <c r="L533" s="13">
        <f t="shared" si="114"/>
        <v>4.2380952380952381</v>
      </c>
      <c r="M533" s="2"/>
      <c r="N533" s="12">
        <f t="shared" si="115"/>
        <v>4450</v>
      </c>
      <c r="O533" s="2"/>
      <c r="P533" s="9">
        <v>1050</v>
      </c>
    </row>
    <row r="534" spans="1:16" x14ac:dyDescent="0.25">
      <c r="D534" s="2"/>
      <c r="E534" s="2"/>
      <c r="F534" s="2"/>
      <c r="G534" s="2"/>
      <c r="H534" s="2"/>
      <c r="I534" s="2"/>
      <c r="J534" s="2"/>
      <c r="K534" s="2"/>
      <c r="M534" s="2"/>
      <c r="O534" s="2"/>
    </row>
    <row r="535" spans="1:16" x14ac:dyDescent="0.25">
      <c r="A535" t="s">
        <v>5</v>
      </c>
      <c r="B535" t="s">
        <v>5</v>
      </c>
      <c r="C535" s="1" t="s">
        <v>377</v>
      </c>
      <c r="D535" s="8">
        <f>SUM(D519:D533)</f>
        <v>137945</v>
      </c>
      <c r="E535" s="2"/>
      <c r="F535" s="15">
        <f>H535/J535</f>
        <v>0</v>
      </c>
      <c r="G535" s="2"/>
      <c r="H535" s="8">
        <f>SUM(H519:H533)</f>
        <v>0</v>
      </c>
      <c r="I535" s="2"/>
      <c r="J535" s="8">
        <f>SUM(J519:J533)</f>
        <v>137945</v>
      </c>
      <c r="K535" s="2"/>
      <c r="L535" s="15">
        <f>N535/P535</f>
        <v>0.14691332363334025</v>
      </c>
      <c r="M535" s="2"/>
      <c r="N535" s="8">
        <f>SUM(N519:N533)</f>
        <v>17670</v>
      </c>
      <c r="O535" s="2"/>
      <c r="P535" s="8">
        <f>SUM(P519:P533)</f>
        <v>120275</v>
      </c>
    </row>
    <row r="536" spans="1:16" x14ac:dyDescent="0.25">
      <c r="D536" s="2"/>
      <c r="E536" s="2"/>
      <c r="F536" s="2"/>
      <c r="G536" s="2"/>
      <c r="H536" s="2"/>
      <c r="I536" s="2"/>
      <c r="J536" s="2"/>
      <c r="K536" s="2"/>
      <c r="M536" s="2"/>
      <c r="O536" s="2"/>
      <c r="P536" s="26"/>
    </row>
    <row r="537" spans="1:16" x14ac:dyDescent="0.25">
      <c r="C537" s="1" t="s">
        <v>407</v>
      </c>
      <c r="D537" s="17">
        <f>D535+D517+D508+D466+D444+D438+D405+D395+D343+D323+D303+D294+D260+D221+D209+D201</f>
        <v>12129523</v>
      </c>
      <c r="E537" s="2"/>
      <c r="F537" s="27">
        <f>H537/J537</f>
        <v>-5.6745325307285419E-2</v>
      </c>
      <c r="G537" s="2"/>
      <c r="H537" s="17">
        <f>H535+H517+H508+H466+H444+H438+H405+H395+H343+H323+H303+H294+H260+H221+H209+H201</f>
        <v>-729700.84</v>
      </c>
      <c r="I537" s="2"/>
      <c r="J537" s="17">
        <f>J535+J517+J508+J466+J444+J438+J405+J395+J343+J323+J303+J294+J260+J221+J209+J201</f>
        <v>12859223.84</v>
      </c>
      <c r="K537" s="2"/>
      <c r="L537" s="27">
        <f>N537/P537</f>
        <v>0.17480244869208028</v>
      </c>
      <c r="M537" s="2"/>
      <c r="N537" s="17">
        <f>N535+N517+N508+N466+N444+N438+N405+N395+N343+N323+N303+N294+N260+N221+N209+N201</f>
        <v>1913288.8399999999</v>
      </c>
      <c r="O537" s="2"/>
      <c r="P537" s="17">
        <f>P535+P517+P508+P466+P444+P438+P405+P395+P343+P323+P303+P294+P260+P221+P209+P201</f>
        <v>10945435</v>
      </c>
    </row>
    <row r="538" spans="1:16" s="30" customFormat="1" x14ac:dyDescent="0.25">
      <c r="C538" s="31"/>
      <c r="D538" s="35"/>
      <c r="E538" s="25"/>
      <c r="F538" s="35"/>
      <c r="G538" s="25"/>
      <c r="H538" s="35"/>
      <c r="I538" s="25"/>
      <c r="J538" s="35"/>
      <c r="K538" s="25"/>
      <c r="L538" s="33"/>
      <c r="M538" s="25"/>
      <c r="N538" s="32"/>
      <c r="O538" s="25"/>
      <c r="P538" s="32"/>
    </row>
    <row r="539" spans="1:16" x14ac:dyDescent="0.25">
      <c r="D539" s="2"/>
      <c r="E539" s="2"/>
      <c r="F539" s="2"/>
      <c r="G539" s="2"/>
      <c r="H539" s="2"/>
      <c r="I539" s="2"/>
      <c r="J539" s="2"/>
      <c r="K539" s="2"/>
      <c r="M539" s="2"/>
      <c r="O539" s="2"/>
      <c r="P539" s="26"/>
    </row>
    <row r="540" spans="1:16" x14ac:dyDescent="0.25">
      <c r="A540" t="s">
        <v>277</v>
      </c>
      <c r="B540" t="s">
        <v>278</v>
      </c>
      <c r="C540" t="s">
        <v>279</v>
      </c>
      <c r="D540" s="47">
        <v>24144</v>
      </c>
      <c r="E540" s="2"/>
      <c r="F540" s="37">
        <f t="shared" ref="F540:F541" si="116">H540/J540</f>
        <v>-4.9701542238433779E-6</v>
      </c>
      <c r="G540" s="2"/>
      <c r="H540" s="12">
        <f t="shared" ref="H540:H541" si="117">D540-J540</f>
        <v>-0.11999999999898137</v>
      </c>
      <c r="I540" s="2"/>
      <c r="J540" s="16">
        <v>24144.12</v>
      </c>
      <c r="K540" s="2"/>
      <c r="L540" s="13">
        <f t="shared" ref="L540:L541" si="118">N540/P540</f>
        <v>5.0978104731641445E-2</v>
      </c>
      <c r="M540" s="2"/>
      <c r="N540" s="12">
        <f t="shared" ref="N540:N541" si="119">J540-P540</f>
        <v>1171.119999999999</v>
      </c>
      <c r="O540" s="2"/>
      <c r="P540" s="9">
        <v>22973</v>
      </c>
    </row>
    <row r="541" spans="1:16" x14ac:dyDescent="0.25">
      <c r="A541" t="s">
        <v>277</v>
      </c>
      <c r="B541" t="s">
        <v>280</v>
      </c>
      <c r="C541" t="s">
        <v>281</v>
      </c>
      <c r="D541" s="47">
        <v>920550</v>
      </c>
      <c r="E541" s="2"/>
      <c r="F541" s="37">
        <f t="shared" si="116"/>
        <v>0</v>
      </c>
      <c r="G541" s="2"/>
      <c r="H541" s="12">
        <f t="shared" si="117"/>
        <v>0</v>
      </c>
      <c r="I541" s="2"/>
      <c r="J541" s="16">
        <v>920550</v>
      </c>
      <c r="K541" s="2"/>
      <c r="L541" s="13">
        <f t="shared" si="118"/>
        <v>0.10075189048801136</v>
      </c>
      <c r="M541" s="2"/>
      <c r="N541" s="12">
        <f t="shared" si="119"/>
        <v>84258</v>
      </c>
      <c r="O541" s="2"/>
      <c r="P541" s="9">
        <v>836292</v>
      </c>
    </row>
    <row r="542" spans="1:16" x14ac:dyDescent="0.25">
      <c r="D542" s="2"/>
      <c r="E542" s="2"/>
      <c r="F542" s="2"/>
      <c r="G542" s="2"/>
      <c r="H542" s="2"/>
      <c r="I542" s="2"/>
      <c r="J542" s="2"/>
      <c r="K542" s="2"/>
      <c r="M542" s="2"/>
      <c r="O542" s="2"/>
    </row>
    <row r="543" spans="1:16" x14ac:dyDescent="0.25">
      <c r="A543" t="s">
        <v>5</v>
      </c>
      <c r="B543" t="s">
        <v>5</v>
      </c>
      <c r="C543" s="1" t="s">
        <v>376</v>
      </c>
      <c r="D543" s="8">
        <f>SUM(D540:D541)</f>
        <v>944694</v>
      </c>
      <c r="E543" s="2"/>
      <c r="F543" s="15">
        <f>H543/J543</f>
        <v>-1.270252428362541E-7</v>
      </c>
      <c r="G543" s="2"/>
      <c r="H543" s="8">
        <f>SUM(H540:H541)</f>
        <v>-0.11999999999898137</v>
      </c>
      <c r="I543" s="2"/>
      <c r="J543" s="8">
        <f>SUM(J540:J541)</f>
        <v>944694.12</v>
      </c>
      <c r="K543" s="2"/>
      <c r="L543" s="15">
        <f>N543/P543</f>
        <v>9.9421156453480583E-2</v>
      </c>
      <c r="M543" s="2"/>
      <c r="N543" s="8">
        <f>SUM(N540:N541)</f>
        <v>85429.119999999995</v>
      </c>
      <c r="O543" s="2"/>
      <c r="P543" s="8">
        <f>SUM(P540:P541)</f>
        <v>859265</v>
      </c>
    </row>
    <row r="544" spans="1:16" s="30" customFormat="1" x14ac:dyDescent="0.25">
      <c r="C544" s="31"/>
      <c r="D544" s="32"/>
      <c r="E544" s="25"/>
      <c r="F544" s="33"/>
      <c r="G544" s="25"/>
      <c r="H544" s="32"/>
      <c r="I544" s="25"/>
      <c r="J544" s="32"/>
      <c r="K544" s="25"/>
      <c r="L544" s="33"/>
      <c r="M544" s="25"/>
      <c r="N544" s="32"/>
      <c r="O544" s="25"/>
      <c r="P544" s="32"/>
    </row>
    <row r="545" spans="1:16" s="30" customFormat="1" x14ac:dyDescent="0.25">
      <c r="C545" s="31" t="s">
        <v>441</v>
      </c>
      <c r="D545" s="49">
        <f>D535+D517+D508+D466+D444+D438+D405+D395+D343+D323+D303+D294+D260+D221+D209+D201</f>
        <v>12129523</v>
      </c>
      <c r="E545" s="25"/>
      <c r="F545" s="50">
        <f>H545/J545</f>
        <v>-5.6745325307285412E-2</v>
      </c>
      <c r="G545" s="25"/>
      <c r="H545" s="49">
        <f>D545-J545</f>
        <v>-729700.83999999985</v>
      </c>
      <c r="I545" s="25"/>
      <c r="J545" s="49">
        <f>J535+J517+J508+J466+J444+J438+J405+J395+J343+J323+J303+J294+J260+J221+J209+J201</f>
        <v>12859223.84</v>
      </c>
      <c r="K545" s="25"/>
      <c r="L545" s="32"/>
      <c r="M545" s="25"/>
      <c r="N545" s="32"/>
      <c r="O545" s="25"/>
      <c r="P545" s="32"/>
    </row>
    <row r="546" spans="1:16" x14ac:dyDescent="0.25">
      <c r="D546" s="2"/>
      <c r="E546" s="2"/>
      <c r="F546" s="2"/>
      <c r="G546" s="2"/>
      <c r="H546" s="2"/>
      <c r="I546" s="2"/>
      <c r="J546" s="2"/>
      <c r="K546" s="2"/>
      <c r="M546" s="2"/>
      <c r="O546" s="2"/>
    </row>
    <row r="547" spans="1:16" x14ac:dyDescent="0.25">
      <c r="A547" t="s">
        <v>282</v>
      </c>
      <c r="B547" t="s">
        <v>284</v>
      </c>
      <c r="C547" t="s">
        <v>285</v>
      </c>
      <c r="D547" s="47">
        <v>53040</v>
      </c>
      <c r="E547" s="2"/>
      <c r="F547" s="37">
        <f t="shared" ref="F547:F556" si="120">H547/J547</f>
        <v>0</v>
      </c>
      <c r="G547" s="2"/>
      <c r="H547" s="12">
        <f t="shared" ref="H547:H557" si="121">D547-J547</f>
        <v>0</v>
      </c>
      <c r="I547" s="2"/>
      <c r="J547" s="16">
        <v>53040</v>
      </c>
      <c r="K547" s="2"/>
      <c r="L547" s="13">
        <f t="shared" ref="L547:L556" si="122">N547/P547</f>
        <v>0</v>
      </c>
      <c r="M547" s="2"/>
      <c r="N547" s="12">
        <f t="shared" ref="N547:N557" si="123">J547-P547</f>
        <v>0</v>
      </c>
      <c r="O547" s="2"/>
      <c r="P547" s="12">
        <v>53040</v>
      </c>
    </row>
    <row r="548" spans="1:16" x14ac:dyDescent="0.25">
      <c r="A548" t="s">
        <v>282</v>
      </c>
      <c r="B548" t="s">
        <v>286</v>
      </c>
      <c r="C548" t="s">
        <v>287</v>
      </c>
      <c r="D548" s="47">
        <f>ROUNDUP((43779.72),0)</f>
        <v>43780</v>
      </c>
      <c r="E548" s="2"/>
      <c r="F548" s="37">
        <f t="shared" si="120"/>
        <v>0</v>
      </c>
      <c r="G548" s="2"/>
      <c r="H548" s="12">
        <f t="shared" si="121"/>
        <v>0</v>
      </c>
      <c r="I548" s="2"/>
      <c r="J548" s="16">
        <f>ROUNDUP((43779.72),0)</f>
        <v>43780</v>
      </c>
      <c r="K548" s="2"/>
      <c r="L548" s="13">
        <f t="shared" si="122"/>
        <v>0</v>
      </c>
      <c r="M548" s="2"/>
      <c r="N548" s="12">
        <f t="shared" si="123"/>
        <v>0</v>
      </c>
      <c r="O548" s="2"/>
      <c r="P548" s="12">
        <v>43780</v>
      </c>
    </row>
    <row r="549" spans="1:16" x14ac:dyDescent="0.25">
      <c r="A549" t="s">
        <v>282</v>
      </c>
      <c r="B549" t="s">
        <v>288</v>
      </c>
      <c r="C549" t="s">
        <v>289</v>
      </c>
      <c r="D549" s="47">
        <v>150000</v>
      </c>
      <c r="E549" s="2"/>
      <c r="F549" s="37">
        <f t="shared" si="120"/>
        <v>0</v>
      </c>
      <c r="G549" s="2"/>
      <c r="H549" s="12">
        <f t="shared" si="121"/>
        <v>0</v>
      </c>
      <c r="I549" s="2"/>
      <c r="J549" s="16">
        <v>150000</v>
      </c>
      <c r="K549" s="2"/>
      <c r="L549" s="13">
        <f t="shared" si="122"/>
        <v>0</v>
      </c>
      <c r="M549" s="2"/>
      <c r="N549" s="12">
        <f t="shared" si="123"/>
        <v>0</v>
      </c>
      <c r="O549" s="2"/>
      <c r="P549" s="12">
        <v>150000</v>
      </c>
    </row>
    <row r="550" spans="1:16" x14ac:dyDescent="0.25">
      <c r="A550" t="s">
        <v>282</v>
      </c>
      <c r="B550" t="s">
        <v>290</v>
      </c>
      <c r="C550" t="s">
        <v>291</v>
      </c>
      <c r="D550" s="47">
        <v>150000</v>
      </c>
      <c r="E550" s="2"/>
      <c r="F550" s="37">
        <f t="shared" si="120"/>
        <v>0</v>
      </c>
      <c r="G550" s="2"/>
      <c r="H550" s="12">
        <f t="shared" si="121"/>
        <v>0</v>
      </c>
      <c r="I550" s="2"/>
      <c r="J550" s="16">
        <v>150000</v>
      </c>
      <c r="K550" s="2"/>
      <c r="L550" s="13">
        <f t="shared" si="122"/>
        <v>0</v>
      </c>
      <c r="M550" s="2"/>
      <c r="N550" s="12">
        <f t="shared" si="123"/>
        <v>0</v>
      </c>
      <c r="O550" s="2"/>
      <c r="P550" s="12">
        <v>150000</v>
      </c>
    </row>
    <row r="551" spans="1:16" x14ac:dyDescent="0.25">
      <c r="A551" t="s">
        <v>282</v>
      </c>
      <c r="B551" t="s">
        <v>387</v>
      </c>
      <c r="C551" t="s">
        <v>394</v>
      </c>
      <c r="D551" s="47">
        <f>ROUNDUP((186666.67),0)</f>
        <v>186667</v>
      </c>
      <c r="E551" s="2"/>
      <c r="F551" s="37">
        <f t="shared" si="120"/>
        <v>0</v>
      </c>
      <c r="G551" s="2"/>
      <c r="H551" s="12">
        <f t="shared" si="121"/>
        <v>0</v>
      </c>
      <c r="I551" s="2"/>
      <c r="J551" s="16">
        <f>ROUNDUP((186666.67),0)</f>
        <v>186667</v>
      </c>
      <c r="K551" s="2"/>
      <c r="L551" s="13">
        <v>1</v>
      </c>
      <c r="M551" s="2"/>
      <c r="N551" s="12">
        <f t="shared" si="123"/>
        <v>186667</v>
      </c>
      <c r="O551" s="2"/>
      <c r="P551" s="12">
        <v>0</v>
      </c>
    </row>
    <row r="552" spans="1:16" x14ac:dyDescent="0.25">
      <c r="A552" t="s">
        <v>282</v>
      </c>
      <c r="B552" t="s">
        <v>292</v>
      </c>
      <c r="C552" t="s">
        <v>293</v>
      </c>
      <c r="D552" s="47">
        <f>ROUNDUP((12924.93),0)</f>
        <v>12925</v>
      </c>
      <c r="E552" s="2"/>
      <c r="F552" s="37">
        <f t="shared" si="120"/>
        <v>0</v>
      </c>
      <c r="G552" s="2"/>
      <c r="H552" s="12">
        <f t="shared" si="121"/>
        <v>0</v>
      </c>
      <c r="I552" s="2"/>
      <c r="J552" s="16">
        <f>ROUNDUP((12924.93),0)</f>
        <v>12925</v>
      </c>
      <c r="K552" s="2"/>
      <c r="L552" s="13">
        <f t="shared" si="122"/>
        <v>-0.10578386605783865</v>
      </c>
      <c r="M552" s="2"/>
      <c r="N552" s="12">
        <f t="shared" si="123"/>
        <v>-1529</v>
      </c>
      <c r="O552" s="2"/>
      <c r="P552" s="12">
        <v>14454</v>
      </c>
    </row>
    <row r="553" spans="1:16" x14ac:dyDescent="0.25">
      <c r="A553" t="s">
        <v>282</v>
      </c>
      <c r="B553" t="s">
        <v>294</v>
      </c>
      <c r="C553" t="s">
        <v>295</v>
      </c>
      <c r="D553" s="47">
        <f>ROUNDUP((13645.42),0)</f>
        <v>13646</v>
      </c>
      <c r="E553" s="2"/>
      <c r="F553" s="37">
        <f t="shared" si="120"/>
        <v>0</v>
      </c>
      <c r="G553" s="2"/>
      <c r="H553" s="12">
        <f t="shared" si="121"/>
        <v>0</v>
      </c>
      <c r="I553" s="2"/>
      <c r="J553" s="16">
        <f>ROUNDUP((13645.42),0)</f>
        <v>13646</v>
      </c>
      <c r="K553" s="2"/>
      <c r="L553" s="13">
        <f t="shared" si="122"/>
        <v>0</v>
      </c>
      <c r="M553" s="2"/>
      <c r="N553" s="12">
        <f t="shared" si="123"/>
        <v>0</v>
      </c>
      <c r="O553" s="2"/>
      <c r="P553" s="12">
        <v>13646</v>
      </c>
    </row>
    <row r="554" spans="1:16" x14ac:dyDescent="0.25">
      <c r="A554" t="s">
        <v>282</v>
      </c>
      <c r="B554" t="s">
        <v>296</v>
      </c>
      <c r="C554" t="s">
        <v>297</v>
      </c>
      <c r="D554" s="47">
        <f>ROUNDUP((16612.5),0)</f>
        <v>16613</v>
      </c>
      <c r="E554" s="2"/>
      <c r="F554" s="37">
        <f t="shared" si="120"/>
        <v>0</v>
      </c>
      <c r="G554" s="2"/>
      <c r="H554" s="12">
        <f t="shared" si="121"/>
        <v>0</v>
      </c>
      <c r="I554" s="2"/>
      <c r="J554" s="16">
        <f>ROUNDUP((16612.5),0)</f>
        <v>16613</v>
      </c>
      <c r="K554" s="2"/>
      <c r="L554" s="13">
        <f t="shared" si="122"/>
        <v>-0.15489876894902838</v>
      </c>
      <c r="M554" s="2"/>
      <c r="N554" s="12">
        <f t="shared" si="123"/>
        <v>-3045</v>
      </c>
      <c r="O554" s="2"/>
      <c r="P554" s="12">
        <v>19658</v>
      </c>
    </row>
    <row r="555" spans="1:16" x14ac:dyDescent="0.25">
      <c r="A555" t="s">
        <v>282</v>
      </c>
      <c r="B555" t="s">
        <v>298</v>
      </c>
      <c r="C555" t="s">
        <v>299</v>
      </c>
      <c r="D555" s="47">
        <v>17183</v>
      </c>
      <c r="E555" s="2"/>
      <c r="F555" s="37">
        <f t="shared" si="120"/>
        <v>-0.10262168372675998</v>
      </c>
      <c r="G555" s="2"/>
      <c r="H555" s="12">
        <f t="shared" si="121"/>
        <v>-1965</v>
      </c>
      <c r="I555" s="2"/>
      <c r="J555" s="16">
        <f>ROUNDUP((19147.5),0)</f>
        <v>19148</v>
      </c>
      <c r="K555" s="2"/>
      <c r="L555" s="13">
        <v>1</v>
      </c>
      <c r="M555" s="2"/>
      <c r="N555" s="12">
        <f t="shared" si="123"/>
        <v>19148</v>
      </c>
      <c r="O555" s="2"/>
      <c r="P555" s="12">
        <v>0</v>
      </c>
    </row>
    <row r="556" spans="1:16" x14ac:dyDescent="0.25">
      <c r="A556" t="s">
        <v>282</v>
      </c>
      <c r="B556" t="s">
        <v>300</v>
      </c>
      <c r="C556" t="s">
        <v>301</v>
      </c>
      <c r="D556" s="47">
        <f>ROUNDUP((86772),0)</f>
        <v>86772</v>
      </c>
      <c r="E556" s="2"/>
      <c r="F556" s="37">
        <f t="shared" si="120"/>
        <v>0</v>
      </c>
      <c r="G556" s="2"/>
      <c r="H556" s="12">
        <f t="shared" si="121"/>
        <v>0</v>
      </c>
      <c r="I556" s="2"/>
      <c r="J556" s="16">
        <f>ROUNDUP((86772),0)</f>
        <v>86772</v>
      </c>
      <c r="K556" s="2"/>
      <c r="L556" s="13">
        <f t="shared" si="122"/>
        <v>2.5382870107770846E-2</v>
      </c>
      <c r="M556" s="2"/>
      <c r="N556" s="12">
        <f t="shared" si="123"/>
        <v>2148</v>
      </c>
      <c r="O556" s="2"/>
      <c r="P556" s="12">
        <v>84624</v>
      </c>
    </row>
    <row r="557" spans="1:16" x14ac:dyDescent="0.25">
      <c r="A557" t="s">
        <v>282</v>
      </c>
      <c r="B557" t="s">
        <v>387</v>
      </c>
      <c r="C557" t="s">
        <v>434</v>
      </c>
      <c r="D557" s="47">
        <v>7500</v>
      </c>
      <c r="E557" s="2"/>
      <c r="F557" s="37">
        <v>1</v>
      </c>
      <c r="G557" s="2"/>
      <c r="H557" s="12">
        <f t="shared" si="121"/>
        <v>2500</v>
      </c>
      <c r="I557" s="2"/>
      <c r="J557" s="16">
        <v>5000</v>
      </c>
      <c r="K557" s="2"/>
      <c r="L557" s="13">
        <v>1</v>
      </c>
      <c r="M557" s="2"/>
      <c r="N557" s="12">
        <f t="shared" si="123"/>
        <v>5000</v>
      </c>
      <c r="O557" s="2"/>
      <c r="P557" s="12">
        <v>0</v>
      </c>
    </row>
    <row r="558" spans="1:16" x14ac:dyDescent="0.25">
      <c r="D558" s="2"/>
      <c r="E558" s="2"/>
      <c r="F558" s="2"/>
      <c r="G558" s="2"/>
      <c r="H558" s="2"/>
      <c r="I558" s="2"/>
      <c r="J558" s="2"/>
      <c r="K558" s="2"/>
      <c r="M558" s="2"/>
      <c r="O558" s="2"/>
    </row>
    <row r="559" spans="1:16" x14ac:dyDescent="0.25">
      <c r="A559" t="s">
        <v>5</v>
      </c>
      <c r="B559" t="s">
        <v>5</v>
      </c>
      <c r="C559" s="1" t="s">
        <v>375</v>
      </c>
      <c r="D559" s="49">
        <f>SUM(D547:D557)</f>
        <v>738126</v>
      </c>
      <c r="E559" s="2"/>
      <c r="F559" s="50">
        <f>H559/J559</f>
        <v>7.2533422994586433E-4</v>
      </c>
      <c r="G559" s="2"/>
      <c r="H559" s="49">
        <f>SUM(H547:H557)</f>
        <v>535</v>
      </c>
      <c r="I559" s="2"/>
      <c r="J559" s="49">
        <f>SUM(J547:J557)</f>
        <v>737591</v>
      </c>
      <c r="K559" s="2"/>
      <c r="L559" s="50">
        <f>N559/P559</f>
        <v>0.39377969093087328</v>
      </c>
      <c r="M559" s="2"/>
      <c r="N559" s="49">
        <f>SUM(N547:N557)</f>
        <v>208389</v>
      </c>
      <c r="O559" s="2"/>
      <c r="P559" s="49">
        <f>SUM(P547:P557)</f>
        <v>529202</v>
      </c>
    </row>
    <row r="560" spans="1:16" s="30" customFormat="1" x14ac:dyDescent="0.25">
      <c r="C560" s="31"/>
      <c r="D560" s="32"/>
      <c r="E560" s="25"/>
      <c r="F560" s="32"/>
      <c r="G560" s="25"/>
      <c r="H560" s="32"/>
      <c r="I560" s="25"/>
      <c r="J560" s="32"/>
      <c r="K560" s="25"/>
      <c r="L560" s="32"/>
      <c r="M560" s="25"/>
      <c r="N560" s="32"/>
      <c r="O560" s="25"/>
      <c r="P560" s="32"/>
    </row>
    <row r="561" spans="1:16" s="30" customFormat="1" x14ac:dyDescent="0.25">
      <c r="C561" s="31"/>
      <c r="D561" s="32"/>
      <c r="E561" s="25"/>
      <c r="F561" s="32"/>
      <c r="G561" s="25"/>
      <c r="H561" s="32"/>
      <c r="I561" s="25"/>
      <c r="J561" s="32"/>
      <c r="K561" s="25"/>
      <c r="L561" s="32"/>
      <c r="M561" s="25"/>
      <c r="N561" s="32"/>
      <c r="O561" s="25"/>
      <c r="P561" s="32"/>
    </row>
    <row r="562" spans="1:16" s="30" customFormat="1" ht="30" x14ac:dyDescent="0.25">
      <c r="C562" s="34" t="s">
        <v>452</v>
      </c>
      <c r="D562" s="49">
        <f>D545+D559</f>
        <v>12867649</v>
      </c>
      <c r="E562" s="25"/>
      <c r="F562" s="50">
        <f>H562/J562</f>
        <v>-5.014376169665407E-2</v>
      </c>
      <c r="G562" s="25"/>
      <c r="H562" s="49">
        <f>H559+H543+H537</f>
        <v>-729165.96</v>
      </c>
      <c r="I562" s="25"/>
      <c r="J562" s="49">
        <f>J559+J543+J537</f>
        <v>14541508.960000001</v>
      </c>
      <c r="K562" s="25"/>
      <c r="L562" s="50">
        <f>N562/P562</f>
        <v>0.17894636749992013</v>
      </c>
      <c r="M562" s="25"/>
      <c r="N562" s="49">
        <f>N559+N543+N537</f>
        <v>2207106.96</v>
      </c>
      <c r="O562" s="25"/>
      <c r="P562" s="49">
        <f>P559+P543+P537</f>
        <v>12333902</v>
      </c>
    </row>
    <row r="563" spans="1:16" s="30" customFormat="1" x14ac:dyDescent="0.25">
      <c r="C563" s="34"/>
      <c r="D563" s="32"/>
      <c r="E563" s="25"/>
      <c r="F563" s="33"/>
      <c r="G563" s="25"/>
      <c r="H563" s="32"/>
      <c r="I563" s="25"/>
      <c r="J563" s="32"/>
      <c r="K563" s="25"/>
      <c r="L563" s="33"/>
      <c r="M563" s="25"/>
      <c r="N563" s="32"/>
      <c r="O563" s="25"/>
      <c r="P563" s="32"/>
    </row>
    <row r="564" spans="1:16" s="30" customFormat="1" x14ac:dyDescent="0.25">
      <c r="D564" s="25"/>
      <c r="E564" s="25"/>
      <c r="F564" s="25"/>
      <c r="G564" s="25"/>
      <c r="H564" s="25"/>
      <c r="I564" s="25"/>
      <c r="J564" s="25"/>
      <c r="K564" s="25"/>
      <c r="L564" s="26"/>
      <c r="M564" s="25"/>
      <c r="N564" s="26"/>
      <c r="O564" s="25"/>
      <c r="P564" s="26"/>
    </row>
    <row r="565" spans="1:16" x14ac:dyDescent="0.25">
      <c r="A565" t="s">
        <v>302</v>
      </c>
      <c r="B565" t="s">
        <v>57</v>
      </c>
      <c r="C565" t="s">
        <v>58</v>
      </c>
      <c r="D565" s="47">
        <f>ROUNDUP((99992.88),0)</f>
        <v>99993</v>
      </c>
      <c r="E565" s="2"/>
      <c r="F565" s="37">
        <f t="shared" ref="F565:F616" si="124">H565/J565</f>
        <v>5.0015751338863802E-2</v>
      </c>
      <c r="G565" s="2"/>
      <c r="H565" s="12">
        <f t="shared" ref="H565:H616" si="125">D565-J565</f>
        <v>4763</v>
      </c>
      <c r="I565" s="2"/>
      <c r="J565" s="16">
        <f>ROUNDUP((95229.68),0)</f>
        <v>95230</v>
      </c>
      <c r="K565" s="2"/>
      <c r="L565" s="13">
        <f t="shared" ref="L565:L616" si="126">N565/P565</f>
        <v>3.0003461105823311E-2</v>
      </c>
      <c r="M565" s="2"/>
      <c r="N565" s="12">
        <f t="shared" ref="N565:N616" si="127">J565-P565</f>
        <v>2774</v>
      </c>
      <c r="O565" s="2"/>
      <c r="P565" s="12">
        <v>92456</v>
      </c>
    </row>
    <row r="566" spans="1:16" x14ac:dyDescent="0.25">
      <c r="A566" t="s">
        <v>302</v>
      </c>
      <c r="B566" t="s">
        <v>30</v>
      </c>
      <c r="C566" t="s">
        <v>31</v>
      </c>
      <c r="D566" s="47">
        <f>ROUNDUP((249589.6),0)</f>
        <v>249590</v>
      </c>
      <c r="E566" s="2"/>
      <c r="F566" s="37">
        <f t="shared" si="124"/>
        <v>0</v>
      </c>
      <c r="G566" s="2"/>
      <c r="H566" s="12">
        <f t="shared" si="125"/>
        <v>0</v>
      </c>
      <c r="I566" s="2"/>
      <c r="J566" s="16">
        <f>ROUNDUP((249589.6),0)</f>
        <v>249590</v>
      </c>
      <c r="K566" s="2"/>
      <c r="L566" s="13">
        <f t="shared" si="126"/>
        <v>3.2396032396032393E-2</v>
      </c>
      <c r="M566" s="2"/>
      <c r="N566" s="12">
        <f t="shared" si="127"/>
        <v>7832</v>
      </c>
      <c r="O566" s="2"/>
      <c r="P566" s="12">
        <v>241758</v>
      </c>
    </row>
    <row r="567" spans="1:16" x14ac:dyDescent="0.25">
      <c r="A567" t="s">
        <v>302</v>
      </c>
      <c r="B567" t="s">
        <v>32</v>
      </c>
      <c r="C567" t="s">
        <v>303</v>
      </c>
      <c r="D567" s="48">
        <f>ROUNDUP((18286.46),0)</f>
        <v>18287</v>
      </c>
      <c r="E567" s="2"/>
      <c r="F567" s="37">
        <f t="shared" si="124"/>
        <v>0</v>
      </c>
      <c r="G567" s="2"/>
      <c r="H567" s="12">
        <f t="shared" si="125"/>
        <v>0</v>
      </c>
      <c r="I567" s="2"/>
      <c r="J567" s="28">
        <f>ROUNDUP((18286.46),0)</f>
        <v>18287</v>
      </c>
      <c r="K567" s="2"/>
      <c r="L567" s="13">
        <f t="shared" si="126"/>
        <v>-8.0454568310956903E-2</v>
      </c>
      <c r="M567" s="2"/>
      <c r="N567" s="12">
        <f t="shared" si="127"/>
        <v>-1600</v>
      </c>
      <c r="O567" s="2"/>
      <c r="P567" s="12">
        <v>19887</v>
      </c>
    </row>
    <row r="568" spans="1:16" x14ac:dyDescent="0.25">
      <c r="A568" t="s">
        <v>302</v>
      </c>
      <c r="B568" t="s">
        <v>61</v>
      </c>
      <c r="C568" t="s">
        <v>62</v>
      </c>
      <c r="D568" s="47">
        <v>22900</v>
      </c>
      <c r="E568" s="2"/>
      <c r="F568" s="37">
        <f t="shared" si="124"/>
        <v>0</v>
      </c>
      <c r="G568" s="2"/>
      <c r="H568" s="12">
        <f t="shared" si="125"/>
        <v>0</v>
      </c>
      <c r="I568" s="2"/>
      <c r="J568" s="16">
        <v>22900</v>
      </c>
      <c r="K568" s="2"/>
      <c r="L568" s="13">
        <f t="shared" si="126"/>
        <v>0</v>
      </c>
      <c r="M568" s="2"/>
      <c r="N568" s="12">
        <f t="shared" si="127"/>
        <v>0</v>
      </c>
      <c r="O568" s="2"/>
      <c r="P568" s="12">
        <v>22900</v>
      </c>
    </row>
    <row r="569" spans="1:16" x14ac:dyDescent="0.25">
      <c r="A569" t="s">
        <v>302</v>
      </c>
      <c r="B569" t="s">
        <v>34</v>
      </c>
      <c r="C569" t="s">
        <v>35</v>
      </c>
      <c r="D569" s="47">
        <f>ROUNDUP((411.6),0)</f>
        <v>412</v>
      </c>
      <c r="E569" s="2"/>
      <c r="F569" s="37">
        <f t="shared" si="124"/>
        <v>0</v>
      </c>
      <c r="G569" s="2"/>
      <c r="H569" s="12">
        <f t="shared" si="125"/>
        <v>0</v>
      </c>
      <c r="I569" s="2"/>
      <c r="J569" s="16">
        <f>ROUNDUP((411.6),0)</f>
        <v>412</v>
      </c>
      <c r="K569" s="2"/>
      <c r="L569" s="13">
        <f t="shared" si="126"/>
        <v>-7.829977628635347E-2</v>
      </c>
      <c r="M569" s="2"/>
      <c r="N569" s="12">
        <f t="shared" si="127"/>
        <v>-35</v>
      </c>
      <c r="O569" s="2"/>
      <c r="P569" s="12">
        <v>447</v>
      </c>
    </row>
    <row r="570" spans="1:16" x14ac:dyDescent="0.25">
      <c r="A570" t="s">
        <v>302</v>
      </c>
      <c r="B570" t="s">
        <v>9</v>
      </c>
      <c r="C570" t="s">
        <v>10</v>
      </c>
      <c r="D570" s="47">
        <f>ROUNDUP((13433.21),0)</f>
        <v>13434</v>
      </c>
      <c r="E570" s="2"/>
      <c r="F570" s="37">
        <f t="shared" si="124"/>
        <v>1.442271388658159E-2</v>
      </c>
      <c r="G570" s="2"/>
      <c r="H570" s="12">
        <f t="shared" si="125"/>
        <v>191</v>
      </c>
      <c r="I570" s="2"/>
      <c r="J570" s="16">
        <f>ROUNDUP((13242.69),0)</f>
        <v>13243</v>
      </c>
      <c r="K570" s="2"/>
      <c r="L570" s="13">
        <f t="shared" si="126"/>
        <v>0.27422303473491771</v>
      </c>
      <c r="M570" s="2"/>
      <c r="N570" s="12">
        <f t="shared" si="127"/>
        <v>2850</v>
      </c>
      <c r="O570" s="2"/>
      <c r="P570" s="12">
        <v>10393</v>
      </c>
    </row>
    <row r="571" spans="1:16" x14ac:dyDescent="0.25">
      <c r="A571" t="s">
        <v>302</v>
      </c>
      <c r="B571" t="s">
        <v>36</v>
      </c>
      <c r="C571" t="s">
        <v>304</v>
      </c>
      <c r="D571" s="47">
        <f>ROUNDUP((37993.21),0)</f>
        <v>37994</v>
      </c>
      <c r="E571" s="2"/>
      <c r="F571" s="37">
        <f t="shared" si="124"/>
        <v>1.2957235789698198E-2</v>
      </c>
      <c r="G571" s="2"/>
      <c r="H571" s="12">
        <f t="shared" si="125"/>
        <v>486</v>
      </c>
      <c r="I571" s="2"/>
      <c r="J571" s="16">
        <f>ROUNDUP((37507.37),0)</f>
        <v>37508</v>
      </c>
      <c r="K571" s="2"/>
      <c r="L571" s="13">
        <f t="shared" si="126"/>
        <v>2.9704057541316643E-2</v>
      </c>
      <c r="M571" s="2"/>
      <c r="N571" s="12">
        <f t="shared" si="127"/>
        <v>1082</v>
      </c>
      <c r="O571" s="2"/>
      <c r="P571" s="12">
        <v>36426</v>
      </c>
    </row>
    <row r="572" spans="1:16" x14ac:dyDescent="0.25">
      <c r="A572" t="s">
        <v>302</v>
      </c>
      <c r="B572" t="s">
        <v>305</v>
      </c>
      <c r="C572" t="s">
        <v>306</v>
      </c>
      <c r="D572" s="48">
        <f>ROUNDUP((6070.61),0)</f>
        <v>6071</v>
      </c>
      <c r="E572" s="2"/>
      <c r="F572" s="37">
        <f t="shared" si="124"/>
        <v>0</v>
      </c>
      <c r="G572" s="2"/>
      <c r="H572" s="12">
        <f t="shared" si="125"/>
        <v>0</v>
      </c>
      <c r="I572" s="2"/>
      <c r="J572" s="28">
        <f>ROUNDUP((6070.61),0)</f>
        <v>6071</v>
      </c>
      <c r="K572" s="2"/>
      <c r="L572" s="13">
        <f t="shared" si="126"/>
        <v>-0.30838459785828209</v>
      </c>
      <c r="M572" s="2"/>
      <c r="N572" s="12">
        <f t="shared" si="127"/>
        <v>-2707</v>
      </c>
      <c r="O572" s="2"/>
      <c r="P572" s="12">
        <v>8778</v>
      </c>
    </row>
    <row r="573" spans="1:16" x14ac:dyDescent="0.25">
      <c r="A573" t="s">
        <v>302</v>
      </c>
      <c r="B573" t="s">
        <v>38</v>
      </c>
      <c r="C573" t="s">
        <v>307</v>
      </c>
      <c r="D573" s="47">
        <f>ROUNDUP((76386.33),0)</f>
        <v>76387</v>
      </c>
      <c r="E573" s="2"/>
      <c r="F573" s="37">
        <f t="shared" si="124"/>
        <v>0</v>
      </c>
      <c r="G573" s="2"/>
      <c r="H573" s="12">
        <f t="shared" si="125"/>
        <v>0</v>
      </c>
      <c r="I573" s="2"/>
      <c r="J573" s="16">
        <f>ROUNDUP((76386.33),0)</f>
        <v>76387</v>
      </c>
      <c r="K573" s="2"/>
      <c r="L573" s="13">
        <f t="shared" si="126"/>
        <v>-0.32282229038492227</v>
      </c>
      <c r="M573" s="2"/>
      <c r="N573" s="12">
        <f t="shared" si="127"/>
        <v>-36415</v>
      </c>
      <c r="O573" s="2"/>
      <c r="P573" s="12">
        <v>112802</v>
      </c>
    </row>
    <row r="574" spans="1:16" x14ac:dyDescent="0.25">
      <c r="A574" t="s">
        <v>302</v>
      </c>
      <c r="B574" t="s">
        <v>90</v>
      </c>
      <c r="C574" t="s">
        <v>91</v>
      </c>
      <c r="D574" s="48">
        <v>3836</v>
      </c>
      <c r="E574" s="2"/>
      <c r="F574" s="37">
        <f t="shared" si="124"/>
        <v>3.007518796992481E-2</v>
      </c>
      <c r="G574" s="2"/>
      <c r="H574" s="12">
        <f t="shared" si="125"/>
        <v>112</v>
      </c>
      <c r="I574" s="2"/>
      <c r="J574" s="16">
        <v>3724</v>
      </c>
      <c r="K574" s="2"/>
      <c r="L574" s="13">
        <f t="shared" si="126"/>
        <v>0</v>
      </c>
      <c r="M574" s="2"/>
      <c r="N574" s="12">
        <f t="shared" si="127"/>
        <v>0</v>
      </c>
      <c r="O574" s="2"/>
      <c r="P574" s="12">
        <v>3724</v>
      </c>
    </row>
    <row r="575" spans="1:16" x14ac:dyDescent="0.25">
      <c r="A575" t="s">
        <v>302</v>
      </c>
      <c r="B575" t="s">
        <v>11</v>
      </c>
      <c r="C575" t="s">
        <v>118</v>
      </c>
      <c r="D575" s="47">
        <f>ROUNDUP((28494.91),0)</f>
        <v>28495</v>
      </c>
      <c r="E575" s="2"/>
      <c r="F575" s="37">
        <f t="shared" si="124"/>
        <v>1.2939461803704099E-2</v>
      </c>
      <c r="G575" s="2"/>
      <c r="H575" s="12">
        <f t="shared" si="125"/>
        <v>364</v>
      </c>
      <c r="I575" s="2"/>
      <c r="J575" s="16">
        <f>ROUNDUP((28130.52),0)</f>
        <v>28131</v>
      </c>
      <c r="K575" s="2"/>
      <c r="L575" s="13">
        <f t="shared" si="126"/>
        <v>2.3764466118349224E-2</v>
      </c>
      <c r="M575" s="2"/>
      <c r="N575" s="12">
        <f t="shared" si="127"/>
        <v>653</v>
      </c>
      <c r="O575" s="2"/>
      <c r="P575" s="12">
        <v>27478</v>
      </c>
    </row>
    <row r="576" spans="1:16" x14ac:dyDescent="0.25">
      <c r="A576" t="s">
        <v>302</v>
      </c>
      <c r="B576" t="s">
        <v>192</v>
      </c>
      <c r="C576" t="s">
        <v>193</v>
      </c>
      <c r="D576" s="47">
        <v>400</v>
      </c>
      <c r="E576" s="2"/>
      <c r="F576" s="37">
        <f t="shared" si="124"/>
        <v>0</v>
      </c>
      <c r="G576" s="2"/>
      <c r="H576" s="12">
        <f t="shared" si="125"/>
        <v>0</v>
      </c>
      <c r="I576" s="2"/>
      <c r="J576" s="16">
        <v>400</v>
      </c>
      <c r="K576" s="2"/>
      <c r="L576" s="13">
        <f t="shared" si="126"/>
        <v>0.6</v>
      </c>
      <c r="M576" s="2"/>
      <c r="N576" s="12">
        <f t="shared" si="127"/>
        <v>150</v>
      </c>
      <c r="O576" s="2"/>
      <c r="P576" s="12">
        <v>250</v>
      </c>
    </row>
    <row r="577" spans="1:16" x14ac:dyDescent="0.25">
      <c r="A577" t="s">
        <v>302</v>
      </c>
      <c r="B577" t="s">
        <v>13</v>
      </c>
      <c r="C577" t="s">
        <v>308</v>
      </c>
      <c r="D577" s="47">
        <v>2500</v>
      </c>
      <c r="E577" s="2"/>
      <c r="F577" s="37">
        <f t="shared" si="124"/>
        <v>0</v>
      </c>
      <c r="G577" s="2"/>
      <c r="H577" s="12">
        <f t="shared" si="125"/>
        <v>0</v>
      </c>
      <c r="I577" s="2"/>
      <c r="J577" s="16">
        <v>2500</v>
      </c>
      <c r="K577" s="2"/>
      <c r="L577" s="13">
        <f t="shared" si="126"/>
        <v>0</v>
      </c>
      <c r="M577" s="2"/>
      <c r="N577" s="12">
        <f t="shared" si="127"/>
        <v>0</v>
      </c>
      <c r="O577" s="2"/>
      <c r="P577" s="12">
        <v>2500</v>
      </c>
    </row>
    <row r="578" spans="1:16" x14ac:dyDescent="0.25">
      <c r="A578" t="s">
        <v>302</v>
      </c>
      <c r="B578" t="s">
        <v>227</v>
      </c>
      <c r="C578" t="s">
        <v>228</v>
      </c>
      <c r="D578" s="47">
        <v>42700</v>
      </c>
      <c r="E578" s="2"/>
      <c r="F578" s="37">
        <f t="shared" si="124"/>
        <v>0</v>
      </c>
      <c r="G578" s="2"/>
      <c r="H578" s="12">
        <f t="shared" si="125"/>
        <v>0</v>
      </c>
      <c r="I578" s="2"/>
      <c r="J578" s="16">
        <v>42700</v>
      </c>
      <c r="K578" s="2"/>
      <c r="L578" s="13">
        <f t="shared" si="126"/>
        <v>0</v>
      </c>
      <c r="M578" s="2"/>
      <c r="N578" s="12">
        <f t="shared" si="127"/>
        <v>0</v>
      </c>
      <c r="O578" s="2"/>
      <c r="P578" s="12">
        <v>42700</v>
      </c>
    </row>
    <row r="579" spans="1:16" x14ac:dyDescent="0.25">
      <c r="A579" t="s">
        <v>302</v>
      </c>
      <c r="B579" t="s">
        <v>19</v>
      </c>
      <c r="C579" t="s">
        <v>20</v>
      </c>
      <c r="D579" s="47">
        <v>8500</v>
      </c>
      <c r="E579" s="2"/>
      <c r="F579" s="37">
        <f t="shared" si="124"/>
        <v>0</v>
      </c>
      <c r="G579" s="2"/>
      <c r="H579" s="12">
        <f t="shared" si="125"/>
        <v>0</v>
      </c>
      <c r="I579" s="2"/>
      <c r="J579" s="16">
        <v>8500</v>
      </c>
      <c r="K579" s="2"/>
      <c r="L579" s="13">
        <f t="shared" si="126"/>
        <v>0</v>
      </c>
      <c r="M579" s="2"/>
      <c r="N579" s="12">
        <f t="shared" si="127"/>
        <v>0</v>
      </c>
      <c r="O579" s="2"/>
      <c r="P579" s="12">
        <v>8500</v>
      </c>
    </row>
    <row r="580" spans="1:16" x14ac:dyDescent="0.25">
      <c r="A580" t="s">
        <v>302</v>
      </c>
      <c r="B580" t="s">
        <v>21</v>
      </c>
      <c r="C580" t="s">
        <v>22</v>
      </c>
      <c r="D580" s="47">
        <v>300</v>
      </c>
      <c r="E580" s="2"/>
      <c r="F580" s="37">
        <f t="shared" si="124"/>
        <v>0</v>
      </c>
      <c r="G580" s="2"/>
      <c r="H580" s="12">
        <f t="shared" si="125"/>
        <v>0</v>
      </c>
      <c r="I580" s="2"/>
      <c r="J580" s="16">
        <v>300</v>
      </c>
      <c r="K580" s="2"/>
      <c r="L580" s="13">
        <f t="shared" si="126"/>
        <v>0</v>
      </c>
      <c r="M580" s="2"/>
      <c r="N580" s="12">
        <f t="shared" si="127"/>
        <v>0</v>
      </c>
      <c r="O580" s="2"/>
      <c r="P580" s="12">
        <v>300</v>
      </c>
    </row>
    <row r="581" spans="1:16" x14ac:dyDescent="0.25">
      <c r="A581" t="s">
        <v>302</v>
      </c>
      <c r="B581" t="s">
        <v>194</v>
      </c>
      <c r="C581" t="s">
        <v>195</v>
      </c>
      <c r="D581" s="47">
        <v>400</v>
      </c>
      <c r="E581" s="2"/>
      <c r="F581" s="37">
        <f t="shared" si="124"/>
        <v>0</v>
      </c>
      <c r="G581" s="2"/>
      <c r="H581" s="12">
        <f t="shared" si="125"/>
        <v>0</v>
      </c>
      <c r="I581" s="2"/>
      <c r="J581" s="16">
        <v>400</v>
      </c>
      <c r="K581" s="2"/>
      <c r="L581" s="13">
        <f t="shared" si="126"/>
        <v>0</v>
      </c>
      <c r="M581" s="2"/>
      <c r="N581" s="12">
        <f t="shared" si="127"/>
        <v>0</v>
      </c>
      <c r="O581" s="2"/>
      <c r="P581" s="12">
        <v>400</v>
      </c>
    </row>
    <row r="582" spans="1:16" x14ac:dyDescent="0.25">
      <c r="A582" t="s">
        <v>302</v>
      </c>
      <c r="B582" t="s">
        <v>309</v>
      </c>
      <c r="C582" t="s">
        <v>310</v>
      </c>
      <c r="D582" s="47">
        <v>3000</v>
      </c>
      <c r="E582" s="2"/>
      <c r="F582" s="37">
        <f t="shared" si="124"/>
        <v>0</v>
      </c>
      <c r="G582" s="2"/>
      <c r="H582" s="12">
        <f t="shared" si="125"/>
        <v>0</v>
      </c>
      <c r="I582" s="2"/>
      <c r="J582" s="16">
        <v>3000</v>
      </c>
      <c r="K582" s="2"/>
      <c r="L582" s="13">
        <f t="shared" si="126"/>
        <v>0</v>
      </c>
      <c r="M582" s="2"/>
      <c r="N582" s="12">
        <f t="shared" si="127"/>
        <v>0</v>
      </c>
      <c r="O582" s="2"/>
      <c r="P582" s="12">
        <v>3000</v>
      </c>
    </row>
    <row r="583" spans="1:16" x14ac:dyDescent="0.25">
      <c r="A583" t="s">
        <v>302</v>
      </c>
      <c r="B583" t="s">
        <v>153</v>
      </c>
      <c r="C583" t="s">
        <v>154</v>
      </c>
      <c r="D583" s="47">
        <v>4500</v>
      </c>
      <c r="E583" s="2"/>
      <c r="F583" s="37">
        <f t="shared" si="124"/>
        <v>0</v>
      </c>
      <c r="G583" s="2"/>
      <c r="H583" s="12">
        <f t="shared" si="125"/>
        <v>0</v>
      </c>
      <c r="I583" s="2"/>
      <c r="J583" s="16">
        <v>4500</v>
      </c>
      <c r="K583" s="2"/>
      <c r="L583" s="13">
        <f t="shared" si="126"/>
        <v>5.8823529411764705E-2</v>
      </c>
      <c r="M583" s="2"/>
      <c r="N583" s="12">
        <f t="shared" si="127"/>
        <v>250</v>
      </c>
      <c r="O583" s="2"/>
      <c r="P583" s="12">
        <v>4250</v>
      </c>
    </row>
    <row r="584" spans="1:16" x14ac:dyDescent="0.25">
      <c r="A584" t="s">
        <v>302</v>
      </c>
      <c r="B584" t="s">
        <v>40</v>
      </c>
      <c r="C584" t="s">
        <v>137</v>
      </c>
      <c r="D584" s="47">
        <v>2564</v>
      </c>
      <c r="E584" s="2"/>
      <c r="F584" s="37">
        <f t="shared" si="124"/>
        <v>0</v>
      </c>
      <c r="G584" s="2"/>
      <c r="H584" s="12">
        <f t="shared" si="125"/>
        <v>0</v>
      </c>
      <c r="I584" s="2"/>
      <c r="J584" s="16">
        <v>2564</v>
      </c>
      <c r="K584" s="2"/>
      <c r="L584" s="13">
        <f t="shared" si="126"/>
        <v>0</v>
      </c>
      <c r="M584" s="2"/>
      <c r="N584" s="12">
        <f t="shared" si="127"/>
        <v>0</v>
      </c>
      <c r="O584" s="2"/>
      <c r="P584" s="12">
        <v>2564</v>
      </c>
    </row>
    <row r="585" spans="1:16" x14ac:dyDescent="0.25">
      <c r="A585" t="s">
        <v>302</v>
      </c>
      <c r="B585" t="s">
        <v>85</v>
      </c>
      <c r="C585" t="s">
        <v>86</v>
      </c>
      <c r="D585" s="47">
        <v>6100</v>
      </c>
      <c r="E585" s="2"/>
      <c r="F585" s="37">
        <f t="shared" si="124"/>
        <v>0</v>
      </c>
      <c r="G585" s="2"/>
      <c r="H585" s="12">
        <f t="shared" si="125"/>
        <v>0</v>
      </c>
      <c r="I585" s="2"/>
      <c r="J585" s="16">
        <v>6100</v>
      </c>
      <c r="K585" s="2"/>
      <c r="L585" s="13">
        <f t="shared" si="126"/>
        <v>0.2847514743049705</v>
      </c>
      <c r="M585" s="2"/>
      <c r="N585" s="12">
        <f t="shared" si="127"/>
        <v>1352</v>
      </c>
      <c r="O585" s="2"/>
      <c r="P585" s="12">
        <v>4748</v>
      </c>
    </row>
    <row r="586" spans="1:16" x14ac:dyDescent="0.25">
      <c r="A586" t="s">
        <v>302</v>
      </c>
      <c r="B586" t="s">
        <v>157</v>
      </c>
      <c r="C586" t="s">
        <v>158</v>
      </c>
      <c r="D586" s="47">
        <v>2410</v>
      </c>
      <c r="E586" s="2"/>
      <c r="F586" s="37">
        <f t="shared" si="124"/>
        <v>0</v>
      </c>
      <c r="G586" s="2"/>
      <c r="H586" s="12">
        <f t="shared" si="125"/>
        <v>0</v>
      </c>
      <c r="I586" s="2"/>
      <c r="J586" s="16">
        <v>2410</v>
      </c>
      <c r="K586" s="2"/>
      <c r="L586" s="13">
        <f t="shared" si="126"/>
        <v>0.37243735763097952</v>
      </c>
      <c r="M586" s="2"/>
      <c r="N586" s="12">
        <f t="shared" si="127"/>
        <v>654</v>
      </c>
      <c r="O586" s="2"/>
      <c r="P586" s="12">
        <v>1756</v>
      </c>
    </row>
    <row r="587" spans="1:16" x14ac:dyDescent="0.25">
      <c r="A587" t="s">
        <v>302</v>
      </c>
      <c r="B587" t="s">
        <v>23</v>
      </c>
      <c r="C587" t="s">
        <v>273</v>
      </c>
      <c r="D587" s="47">
        <v>3000</v>
      </c>
      <c r="E587" s="2"/>
      <c r="F587" s="37">
        <f t="shared" si="124"/>
        <v>0</v>
      </c>
      <c r="G587" s="2"/>
      <c r="H587" s="12">
        <f t="shared" si="125"/>
        <v>0</v>
      </c>
      <c r="I587" s="2"/>
      <c r="J587" s="16">
        <v>3000</v>
      </c>
      <c r="K587" s="2"/>
      <c r="L587" s="13">
        <f t="shared" si="126"/>
        <v>0</v>
      </c>
      <c r="M587" s="2"/>
      <c r="N587" s="12">
        <f t="shared" si="127"/>
        <v>0</v>
      </c>
      <c r="O587" s="2"/>
      <c r="P587" s="12">
        <v>3000</v>
      </c>
    </row>
    <row r="588" spans="1:16" x14ac:dyDescent="0.25">
      <c r="A588" t="s">
        <v>302</v>
      </c>
      <c r="B588" t="s">
        <v>44</v>
      </c>
      <c r="C588" t="s">
        <v>311</v>
      </c>
      <c r="D588" s="47">
        <v>300</v>
      </c>
      <c r="E588" s="2"/>
      <c r="F588" s="37">
        <f t="shared" si="124"/>
        <v>0</v>
      </c>
      <c r="G588" s="2"/>
      <c r="H588" s="12">
        <f t="shared" si="125"/>
        <v>0</v>
      </c>
      <c r="I588" s="2"/>
      <c r="J588" s="16">
        <v>300</v>
      </c>
      <c r="K588" s="2"/>
      <c r="L588" s="13">
        <f t="shared" si="126"/>
        <v>0</v>
      </c>
      <c r="M588" s="2"/>
      <c r="N588" s="12">
        <f t="shared" si="127"/>
        <v>0</v>
      </c>
      <c r="O588" s="2"/>
      <c r="P588" s="12">
        <v>300</v>
      </c>
    </row>
    <row r="589" spans="1:16" x14ac:dyDescent="0.25">
      <c r="A589" t="s">
        <v>302</v>
      </c>
      <c r="B589" t="s">
        <v>206</v>
      </c>
      <c r="C589" t="s">
        <v>207</v>
      </c>
      <c r="D589" s="47">
        <v>2100</v>
      </c>
      <c r="E589" s="2"/>
      <c r="F589" s="37">
        <f t="shared" si="124"/>
        <v>0</v>
      </c>
      <c r="G589" s="2"/>
      <c r="H589" s="12">
        <f t="shared" si="125"/>
        <v>0</v>
      </c>
      <c r="I589" s="2"/>
      <c r="J589" s="16">
        <v>2100</v>
      </c>
      <c r="K589" s="2"/>
      <c r="L589" s="13">
        <f t="shared" si="126"/>
        <v>0.3125</v>
      </c>
      <c r="M589" s="2"/>
      <c r="N589" s="12">
        <f t="shared" si="127"/>
        <v>500</v>
      </c>
      <c r="O589" s="2"/>
      <c r="P589" s="12">
        <v>1600</v>
      </c>
    </row>
    <row r="590" spans="1:16" x14ac:dyDescent="0.25">
      <c r="A590" t="s">
        <v>302</v>
      </c>
      <c r="B590" t="s">
        <v>54</v>
      </c>
      <c r="C590" t="s">
        <v>55</v>
      </c>
      <c r="D590" s="47">
        <v>1000</v>
      </c>
      <c r="E590" s="2"/>
      <c r="F590" s="37">
        <f t="shared" si="124"/>
        <v>0</v>
      </c>
      <c r="G590" s="2"/>
      <c r="H590" s="12">
        <f t="shared" si="125"/>
        <v>0</v>
      </c>
      <c r="I590" s="2"/>
      <c r="J590" s="16">
        <v>1000</v>
      </c>
      <c r="K590" s="2"/>
      <c r="L590" s="13">
        <f t="shared" si="126"/>
        <v>0</v>
      </c>
      <c r="M590" s="2"/>
      <c r="N590" s="12">
        <f t="shared" si="127"/>
        <v>0</v>
      </c>
      <c r="O590" s="2"/>
      <c r="P590" s="12">
        <v>1000</v>
      </c>
    </row>
    <row r="591" spans="1:16" x14ac:dyDescent="0.25">
      <c r="A591" t="s">
        <v>302</v>
      </c>
      <c r="B591" t="s">
        <v>46</v>
      </c>
      <c r="C591" t="s">
        <v>47</v>
      </c>
      <c r="D591" s="47">
        <v>2634</v>
      </c>
      <c r="E591" s="2"/>
      <c r="F591" s="37">
        <f t="shared" si="124"/>
        <v>0</v>
      </c>
      <c r="G591" s="2"/>
      <c r="H591" s="12">
        <f t="shared" si="125"/>
        <v>0</v>
      </c>
      <c r="I591" s="2"/>
      <c r="J591" s="16">
        <v>2634</v>
      </c>
      <c r="K591" s="2"/>
      <c r="L591" s="13">
        <f t="shared" si="126"/>
        <v>0</v>
      </c>
      <c r="M591" s="2"/>
      <c r="N591" s="12">
        <f t="shared" si="127"/>
        <v>0</v>
      </c>
      <c r="O591" s="2"/>
      <c r="P591" s="12">
        <v>2634</v>
      </c>
    </row>
    <row r="592" spans="1:16" x14ac:dyDescent="0.25">
      <c r="A592" t="s">
        <v>302</v>
      </c>
      <c r="B592" t="s">
        <v>67</v>
      </c>
      <c r="C592" t="s">
        <v>68</v>
      </c>
      <c r="D592" s="47">
        <v>10000</v>
      </c>
      <c r="E592" s="2"/>
      <c r="F592" s="37">
        <f t="shared" si="124"/>
        <v>0</v>
      </c>
      <c r="G592" s="2"/>
      <c r="H592" s="12">
        <f t="shared" si="125"/>
        <v>0</v>
      </c>
      <c r="I592" s="2"/>
      <c r="J592" s="16">
        <v>10000</v>
      </c>
      <c r="K592" s="2"/>
      <c r="L592" s="13">
        <f t="shared" si="126"/>
        <v>0</v>
      </c>
      <c r="M592" s="2"/>
      <c r="N592" s="12">
        <f t="shared" si="127"/>
        <v>0</v>
      </c>
      <c r="O592" s="2"/>
      <c r="P592" s="12">
        <v>10000</v>
      </c>
    </row>
    <row r="593" spans="1:16" x14ac:dyDescent="0.25">
      <c r="A593" t="s">
        <v>302</v>
      </c>
      <c r="B593" t="s">
        <v>312</v>
      </c>
      <c r="C593" t="s">
        <v>313</v>
      </c>
      <c r="D593" s="47">
        <v>3500</v>
      </c>
      <c r="E593" s="2"/>
      <c r="F593" s="37">
        <f t="shared" si="124"/>
        <v>0</v>
      </c>
      <c r="G593" s="2"/>
      <c r="H593" s="12">
        <f t="shared" si="125"/>
        <v>0</v>
      </c>
      <c r="I593" s="2"/>
      <c r="J593" s="16">
        <v>3500</v>
      </c>
      <c r="K593" s="2"/>
      <c r="L593" s="13">
        <f t="shared" si="126"/>
        <v>0</v>
      </c>
      <c r="M593" s="2"/>
      <c r="N593" s="12">
        <f t="shared" si="127"/>
        <v>0</v>
      </c>
      <c r="O593" s="2"/>
      <c r="P593" s="12">
        <v>3500</v>
      </c>
    </row>
    <row r="594" spans="1:16" x14ac:dyDescent="0.25">
      <c r="A594" t="s">
        <v>302</v>
      </c>
      <c r="B594" t="s">
        <v>119</v>
      </c>
      <c r="C594" t="s">
        <v>120</v>
      </c>
      <c r="D594" s="47">
        <v>120000</v>
      </c>
      <c r="E594" s="2"/>
      <c r="F594" s="37">
        <f t="shared" si="124"/>
        <v>0</v>
      </c>
      <c r="G594" s="2"/>
      <c r="H594" s="12">
        <f t="shared" si="125"/>
        <v>0</v>
      </c>
      <c r="I594" s="2"/>
      <c r="J594" s="16">
        <v>120000</v>
      </c>
      <c r="K594" s="2"/>
      <c r="L594" s="13">
        <f t="shared" si="126"/>
        <v>0</v>
      </c>
      <c r="M594" s="2"/>
      <c r="N594" s="12">
        <f t="shared" si="127"/>
        <v>0</v>
      </c>
      <c r="O594" s="2"/>
      <c r="P594" s="12">
        <v>120000</v>
      </c>
    </row>
    <row r="595" spans="1:16" x14ac:dyDescent="0.25">
      <c r="A595" t="s">
        <v>302</v>
      </c>
      <c r="B595" t="s">
        <v>121</v>
      </c>
      <c r="C595" t="s">
        <v>122</v>
      </c>
      <c r="D595" s="47">
        <v>22800</v>
      </c>
      <c r="E595" s="2"/>
      <c r="F595" s="37">
        <f t="shared" si="124"/>
        <v>0.14000000000000001</v>
      </c>
      <c r="G595" s="2"/>
      <c r="H595" s="12">
        <f t="shared" si="125"/>
        <v>2800</v>
      </c>
      <c r="I595" s="2"/>
      <c r="J595" s="16">
        <v>20000</v>
      </c>
      <c r="K595" s="2"/>
      <c r="L595" s="13">
        <f t="shared" si="126"/>
        <v>0.29032258064516131</v>
      </c>
      <c r="M595" s="2"/>
      <c r="N595" s="12">
        <f t="shared" si="127"/>
        <v>4500</v>
      </c>
      <c r="O595" s="2"/>
      <c r="P595" s="12">
        <v>15500</v>
      </c>
    </row>
    <row r="596" spans="1:16" x14ac:dyDescent="0.25">
      <c r="A596" t="s">
        <v>302</v>
      </c>
      <c r="B596" t="s">
        <v>123</v>
      </c>
      <c r="C596" t="s">
        <v>124</v>
      </c>
      <c r="D596" s="47">
        <v>950</v>
      </c>
      <c r="E596" s="2"/>
      <c r="F596" s="37">
        <f t="shared" si="124"/>
        <v>0</v>
      </c>
      <c r="G596" s="2"/>
      <c r="H596" s="12">
        <f t="shared" si="125"/>
        <v>0</v>
      </c>
      <c r="I596" s="2"/>
      <c r="J596" s="16">
        <v>950</v>
      </c>
      <c r="K596" s="2"/>
      <c r="L596" s="13">
        <f t="shared" si="126"/>
        <v>0</v>
      </c>
      <c r="M596" s="2"/>
      <c r="N596" s="12">
        <f t="shared" si="127"/>
        <v>0</v>
      </c>
      <c r="O596" s="2"/>
      <c r="P596" s="12">
        <v>950</v>
      </c>
    </row>
    <row r="597" spans="1:16" x14ac:dyDescent="0.25">
      <c r="A597" t="s">
        <v>302</v>
      </c>
      <c r="B597" t="s">
        <v>127</v>
      </c>
      <c r="C597" t="s">
        <v>128</v>
      </c>
      <c r="D597" s="47">
        <v>9500</v>
      </c>
      <c r="E597" s="2"/>
      <c r="F597" s="37">
        <f t="shared" si="124"/>
        <v>0</v>
      </c>
      <c r="G597" s="2"/>
      <c r="H597" s="12">
        <f t="shared" si="125"/>
        <v>0</v>
      </c>
      <c r="I597" s="2"/>
      <c r="J597" s="16">
        <v>9500</v>
      </c>
      <c r="K597" s="2"/>
      <c r="L597" s="13">
        <f t="shared" si="126"/>
        <v>0</v>
      </c>
      <c r="M597" s="2"/>
      <c r="N597" s="12">
        <f t="shared" si="127"/>
        <v>0</v>
      </c>
      <c r="O597" s="2"/>
      <c r="P597" s="12">
        <v>9500</v>
      </c>
    </row>
    <row r="598" spans="1:16" x14ac:dyDescent="0.25">
      <c r="A598" t="s">
        <v>302</v>
      </c>
      <c r="B598" t="s">
        <v>115</v>
      </c>
      <c r="C598" t="s">
        <v>116</v>
      </c>
      <c r="D598" s="47">
        <v>19080</v>
      </c>
      <c r="E598" s="2"/>
      <c r="F598" s="37">
        <f t="shared" si="124"/>
        <v>0</v>
      </c>
      <c r="G598" s="2"/>
      <c r="H598" s="12">
        <f t="shared" si="125"/>
        <v>0</v>
      </c>
      <c r="I598" s="2"/>
      <c r="J598" s="16">
        <v>19080</v>
      </c>
      <c r="K598" s="2"/>
      <c r="L598" s="13">
        <f t="shared" si="126"/>
        <v>-0.48432432432432432</v>
      </c>
      <c r="M598" s="2"/>
      <c r="N598" s="12">
        <f t="shared" si="127"/>
        <v>-17920</v>
      </c>
      <c r="O598" s="2"/>
      <c r="P598" s="12">
        <v>37000</v>
      </c>
    </row>
    <row r="599" spans="1:16" x14ac:dyDescent="0.25">
      <c r="A599" t="s">
        <v>302</v>
      </c>
      <c r="B599" t="s">
        <v>214</v>
      </c>
      <c r="C599" t="s">
        <v>215</v>
      </c>
      <c r="D599" s="47">
        <v>7500</v>
      </c>
      <c r="E599" s="2"/>
      <c r="F599" s="37">
        <f t="shared" si="124"/>
        <v>0</v>
      </c>
      <c r="G599" s="2"/>
      <c r="H599" s="12">
        <f t="shared" si="125"/>
        <v>0</v>
      </c>
      <c r="I599" s="2"/>
      <c r="J599" s="16">
        <v>7500</v>
      </c>
      <c r="K599" s="2"/>
      <c r="L599" s="13">
        <f t="shared" si="126"/>
        <v>0</v>
      </c>
      <c r="M599" s="2"/>
      <c r="N599" s="12">
        <f t="shared" si="127"/>
        <v>0</v>
      </c>
      <c r="O599" s="2"/>
      <c r="P599" s="12">
        <v>7500</v>
      </c>
    </row>
    <row r="600" spans="1:16" x14ac:dyDescent="0.25">
      <c r="A600" t="s">
        <v>302</v>
      </c>
      <c r="B600" t="s">
        <v>314</v>
      </c>
      <c r="C600" t="s">
        <v>315</v>
      </c>
      <c r="D600" s="47">
        <v>72000</v>
      </c>
      <c r="E600" s="2"/>
      <c r="F600" s="37">
        <f t="shared" si="124"/>
        <v>0</v>
      </c>
      <c r="G600" s="2"/>
      <c r="H600" s="12">
        <f t="shared" si="125"/>
        <v>0</v>
      </c>
      <c r="I600" s="2"/>
      <c r="J600" s="16">
        <v>72000</v>
      </c>
      <c r="K600" s="2"/>
      <c r="L600" s="13">
        <f t="shared" si="126"/>
        <v>0</v>
      </c>
      <c r="M600" s="2"/>
      <c r="N600" s="12">
        <f t="shared" si="127"/>
        <v>0</v>
      </c>
      <c r="O600" s="2"/>
      <c r="P600" s="12">
        <v>72000</v>
      </c>
    </row>
    <row r="601" spans="1:16" x14ac:dyDescent="0.25">
      <c r="A601" t="s">
        <v>302</v>
      </c>
      <c r="B601" t="s">
        <v>316</v>
      </c>
      <c r="C601" t="s">
        <v>317</v>
      </c>
      <c r="D601" s="47">
        <v>14000</v>
      </c>
      <c r="E601" s="2"/>
      <c r="F601" s="37">
        <f t="shared" si="124"/>
        <v>0</v>
      </c>
      <c r="G601" s="2"/>
      <c r="H601" s="12">
        <f t="shared" si="125"/>
        <v>0</v>
      </c>
      <c r="I601" s="2"/>
      <c r="J601" s="16">
        <v>14000</v>
      </c>
      <c r="K601" s="2"/>
      <c r="L601" s="13">
        <f t="shared" si="126"/>
        <v>0.4</v>
      </c>
      <c r="M601" s="2"/>
      <c r="N601" s="12">
        <f t="shared" si="127"/>
        <v>4000</v>
      </c>
      <c r="O601" s="2"/>
      <c r="P601" s="12">
        <v>10000</v>
      </c>
    </row>
    <row r="602" spans="1:16" x14ac:dyDescent="0.25">
      <c r="A602" t="s">
        <v>302</v>
      </c>
      <c r="B602" t="s">
        <v>318</v>
      </c>
      <c r="C602" s="39" t="s">
        <v>319</v>
      </c>
      <c r="D602" s="47">
        <v>188000</v>
      </c>
      <c r="E602" s="2"/>
      <c r="F602" s="37">
        <f t="shared" si="124"/>
        <v>0.504</v>
      </c>
      <c r="G602" s="2"/>
      <c r="H602" s="12">
        <f t="shared" si="125"/>
        <v>63000</v>
      </c>
      <c r="I602" s="2"/>
      <c r="J602" s="16">
        <v>125000</v>
      </c>
      <c r="K602" s="2"/>
      <c r="L602" s="13">
        <f t="shared" si="126"/>
        <v>0</v>
      </c>
      <c r="M602" s="2"/>
      <c r="N602" s="12">
        <f t="shared" si="127"/>
        <v>0</v>
      </c>
      <c r="O602" s="2"/>
      <c r="P602" s="12">
        <v>125000</v>
      </c>
    </row>
    <row r="603" spans="1:16" x14ac:dyDescent="0.25">
      <c r="A603" t="s">
        <v>302</v>
      </c>
      <c r="B603" t="s">
        <v>233</v>
      </c>
      <c r="C603" t="s">
        <v>234</v>
      </c>
      <c r="D603" s="47">
        <v>2800</v>
      </c>
      <c r="E603" s="2"/>
      <c r="F603" s="37">
        <f t="shared" si="124"/>
        <v>0</v>
      </c>
      <c r="G603" s="2"/>
      <c r="H603" s="12">
        <f t="shared" si="125"/>
        <v>0</v>
      </c>
      <c r="I603" s="2"/>
      <c r="J603" s="16">
        <v>2800</v>
      </c>
      <c r="K603" s="2"/>
      <c r="L603" s="13">
        <f t="shared" si="126"/>
        <v>0.35265700483091789</v>
      </c>
      <c r="M603" s="2"/>
      <c r="N603" s="12">
        <f t="shared" si="127"/>
        <v>730</v>
      </c>
      <c r="O603" s="2"/>
      <c r="P603" s="12">
        <v>2070</v>
      </c>
    </row>
    <row r="604" spans="1:16" x14ac:dyDescent="0.25">
      <c r="A604" t="s">
        <v>302</v>
      </c>
      <c r="B604" t="s">
        <v>320</v>
      </c>
      <c r="C604" t="s">
        <v>321</v>
      </c>
      <c r="D604" s="47">
        <v>10000</v>
      </c>
      <c r="E604" s="2"/>
      <c r="F604" s="37">
        <f t="shared" si="124"/>
        <v>0</v>
      </c>
      <c r="G604" s="2"/>
      <c r="H604" s="12">
        <f t="shared" si="125"/>
        <v>0</v>
      </c>
      <c r="I604" s="2"/>
      <c r="J604" s="16">
        <v>10000</v>
      </c>
      <c r="K604" s="2"/>
      <c r="L604" s="13">
        <f t="shared" si="126"/>
        <v>0</v>
      </c>
      <c r="M604" s="2"/>
      <c r="N604" s="12">
        <f t="shared" si="127"/>
        <v>0</v>
      </c>
      <c r="O604" s="2"/>
      <c r="P604" s="12">
        <v>10000</v>
      </c>
    </row>
    <row r="605" spans="1:16" s="39" customFormat="1" x14ac:dyDescent="0.25">
      <c r="A605" s="39" t="s">
        <v>302</v>
      </c>
      <c r="B605" s="39" t="s">
        <v>92</v>
      </c>
      <c r="C605" s="39" t="s">
        <v>93</v>
      </c>
      <c r="D605" s="48">
        <v>1225</v>
      </c>
      <c r="E605" s="43"/>
      <c r="F605" s="44">
        <f t="shared" si="124"/>
        <v>0.15023474178403756</v>
      </c>
      <c r="G605" s="43"/>
      <c r="H605" s="45">
        <f t="shared" si="125"/>
        <v>160</v>
      </c>
      <c r="I605" s="43"/>
      <c r="J605" s="28">
        <v>1065</v>
      </c>
      <c r="K605" s="43"/>
      <c r="L605" s="46">
        <f t="shared" si="126"/>
        <v>0</v>
      </c>
      <c r="M605" s="43"/>
      <c r="N605" s="45">
        <f t="shared" si="127"/>
        <v>0</v>
      </c>
      <c r="O605" s="43"/>
      <c r="P605" s="45">
        <v>1065</v>
      </c>
    </row>
    <row r="606" spans="1:16" s="39" customFormat="1" x14ac:dyDescent="0.25">
      <c r="A606" s="39" t="s">
        <v>302</v>
      </c>
      <c r="B606" s="39" t="s">
        <v>94</v>
      </c>
      <c r="C606" s="39" t="s">
        <v>95</v>
      </c>
      <c r="D606" s="48">
        <v>1035</v>
      </c>
      <c r="E606" s="43"/>
      <c r="F606" s="44">
        <f t="shared" si="124"/>
        <v>0.15</v>
      </c>
      <c r="G606" s="43"/>
      <c r="H606" s="45">
        <f t="shared" si="125"/>
        <v>135</v>
      </c>
      <c r="I606" s="43"/>
      <c r="J606" s="28">
        <v>900</v>
      </c>
      <c r="K606" s="43"/>
      <c r="L606" s="46">
        <f t="shared" si="126"/>
        <v>0</v>
      </c>
      <c r="M606" s="43"/>
      <c r="N606" s="45">
        <f t="shared" si="127"/>
        <v>0</v>
      </c>
      <c r="O606" s="43"/>
      <c r="P606" s="45">
        <v>900</v>
      </c>
    </row>
    <row r="607" spans="1:16" s="39" customFormat="1" x14ac:dyDescent="0.25">
      <c r="A607" s="39" t="s">
        <v>302</v>
      </c>
      <c r="B607" s="39" t="s">
        <v>98</v>
      </c>
      <c r="C607" s="39" t="s">
        <v>99</v>
      </c>
      <c r="D607" s="48">
        <f>ROUNDUP((11907.1),0)</f>
        <v>11908</v>
      </c>
      <c r="E607" s="43"/>
      <c r="F607" s="44">
        <f t="shared" si="124"/>
        <v>0.15008692292833686</v>
      </c>
      <c r="G607" s="43"/>
      <c r="H607" s="45">
        <f t="shared" si="125"/>
        <v>1554</v>
      </c>
      <c r="I607" s="43"/>
      <c r="J607" s="28">
        <v>10354</v>
      </c>
      <c r="K607" s="43"/>
      <c r="L607" s="46">
        <f t="shared" si="126"/>
        <v>0</v>
      </c>
      <c r="M607" s="43"/>
      <c r="N607" s="45">
        <f t="shared" si="127"/>
        <v>0</v>
      </c>
      <c r="O607" s="43"/>
      <c r="P607" s="45">
        <v>10354</v>
      </c>
    </row>
    <row r="608" spans="1:16" x14ac:dyDescent="0.25">
      <c r="A608" t="s">
        <v>302</v>
      </c>
      <c r="B608" t="s">
        <v>322</v>
      </c>
      <c r="C608" t="s">
        <v>323</v>
      </c>
      <c r="D608" s="47">
        <v>160200</v>
      </c>
      <c r="E608" s="2"/>
      <c r="F608" s="37">
        <f t="shared" si="124"/>
        <v>0</v>
      </c>
      <c r="G608" s="2"/>
      <c r="H608" s="12">
        <f t="shared" si="125"/>
        <v>0</v>
      </c>
      <c r="I608" s="2"/>
      <c r="J608" s="28">
        <v>160200</v>
      </c>
      <c r="K608" s="2"/>
      <c r="L608" s="13">
        <f t="shared" si="126"/>
        <v>0</v>
      </c>
      <c r="M608" s="2"/>
      <c r="N608" s="12">
        <f t="shared" si="127"/>
        <v>0</v>
      </c>
      <c r="O608" s="2"/>
      <c r="P608" s="12">
        <v>160200</v>
      </c>
    </row>
    <row r="609" spans="1:17" x14ac:dyDescent="0.25">
      <c r="A609" t="s">
        <v>302</v>
      </c>
      <c r="B609" t="s">
        <v>324</v>
      </c>
      <c r="C609" t="s">
        <v>325</v>
      </c>
      <c r="D609" s="48">
        <v>2200</v>
      </c>
      <c r="E609" s="2"/>
      <c r="F609" s="37">
        <f t="shared" si="124"/>
        <v>0</v>
      </c>
      <c r="G609" s="2"/>
      <c r="H609" s="12">
        <f t="shared" si="125"/>
        <v>0</v>
      </c>
      <c r="I609" s="2"/>
      <c r="J609" s="28">
        <v>2200</v>
      </c>
      <c r="K609" s="2"/>
      <c r="L609" s="13">
        <f t="shared" si="126"/>
        <v>0</v>
      </c>
      <c r="M609" s="2"/>
      <c r="N609" s="12">
        <f t="shared" si="127"/>
        <v>0</v>
      </c>
      <c r="O609" s="2"/>
      <c r="P609" s="12">
        <v>2200</v>
      </c>
    </row>
    <row r="610" spans="1:17" x14ac:dyDescent="0.25">
      <c r="A610" t="s">
        <v>302</v>
      </c>
      <c r="B610" t="s">
        <v>326</v>
      </c>
      <c r="C610" t="s">
        <v>327</v>
      </c>
      <c r="D610" s="47">
        <v>0</v>
      </c>
      <c r="E610" s="2"/>
      <c r="F610" s="37">
        <v>0</v>
      </c>
      <c r="G610" s="2"/>
      <c r="H610" s="12">
        <f t="shared" si="125"/>
        <v>0</v>
      </c>
      <c r="I610" s="2"/>
      <c r="J610" s="16">
        <v>0</v>
      </c>
      <c r="K610" s="2"/>
      <c r="L610" s="13">
        <f t="shared" si="126"/>
        <v>-1</v>
      </c>
      <c r="M610" s="2"/>
      <c r="N610" s="12">
        <f t="shared" si="127"/>
        <v>-37313</v>
      </c>
      <c r="O610" s="2"/>
      <c r="P610" s="12">
        <v>37313</v>
      </c>
      <c r="Q610" t="s">
        <v>393</v>
      </c>
    </row>
    <row r="611" spans="1:17" x14ac:dyDescent="0.25">
      <c r="A611" t="s">
        <v>302</v>
      </c>
      <c r="B611" t="s">
        <v>328</v>
      </c>
      <c r="C611" t="s">
        <v>329</v>
      </c>
      <c r="D611" s="47">
        <v>17500</v>
      </c>
      <c r="E611" s="2"/>
      <c r="F611" s="37">
        <f t="shared" si="124"/>
        <v>0</v>
      </c>
      <c r="G611" s="2"/>
      <c r="H611" s="12">
        <f t="shared" si="125"/>
        <v>0</v>
      </c>
      <c r="I611" s="2"/>
      <c r="J611" s="16">
        <v>17500</v>
      </c>
      <c r="K611" s="2"/>
      <c r="L611" s="13">
        <f t="shared" si="126"/>
        <v>0</v>
      </c>
      <c r="M611" s="2"/>
      <c r="N611" s="12">
        <f t="shared" si="127"/>
        <v>0</v>
      </c>
      <c r="O611" s="2"/>
      <c r="P611" s="12">
        <v>17500</v>
      </c>
    </row>
    <row r="612" spans="1:17" x14ac:dyDescent="0.25">
      <c r="A612" t="s">
        <v>302</v>
      </c>
      <c r="B612" t="s">
        <v>283</v>
      </c>
      <c r="C612" t="s">
        <v>330</v>
      </c>
      <c r="D612" s="47">
        <v>25000</v>
      </c>
      <c r="E612" s="2"/>
      <c r="F612" s="37">
        <f t="shared" si="124"/>
        <v>0</v>
      </c>
      <c r="G612" s="2"/>
      <c r="H612" s="12">
        <f t="shared" si="125"/>
        <v>0</v>
      </c>
      <c r="I612" s="2"/>
      <c r="J612" s="16">
        <v>25000</v>
      </c>
      <c r="K612" s="2"/>
      <c r="L612" s="13">
        <f t="shared" si="126"/>
        <v>0</v>
      </c>
      <c r="M612" s="2"/>
      <c r="N612" s="12">
        <f t="shared" si="127"/>
        <v>0</v>
      </c>
      <c r="O612" s="2"/>
      <c r="P612" s="12">
        <v>25000</v>
      </c>
    </row>
    <row r="613" spans="1:17" x14ac:dyDescent="0.25">
      <c r="A613" t="s">
        <v>302</v>
      </c>
      <c r="B613" t="s">
        <v>286</v>
      </c>
      <c r="C613" t="s">
        <v>287</v>
      </c>
      <c r="D613" s="47">
        <f>ROUNDUP((17025.45),0)</f>
        <v>17026</v>
      </c>
      <c r="E613" s="2"/>
      <c r="F613" s="37">
        <f t="shared" si="124"/>
        <v>0</v>
      </c>
      <c r="G613" s="2"/>
      <c r="H613" s="12">
        <f t="shared" si="125"/>
        <v>0</v>
      </c>
      <c r="I613" s="2"/>
      <c r="J613" s="16">
        <f>ROUNDUP((17025.45),0)</f>
        <v>17026</v>
      </c>
      <c r="K613" s="2"/>
      <c r="L613" s="13">
        <f t="shared" si="126"/>
        <v>0</v>
      </c>
      <c r="M613" s="2"/>
      <c r="N613" s="12">
        <f t="shared" si="127"/>
        <v>0</v>
      </c>
      <c r="O613" s="2"/>
      <c r="P613" s="12">
        <v>17026</v>
      </c>
    </row>
    <row r="614" spans="1:17" x14ac:dyDescent="0.25">
      <c r="A614" t="s">
        <v>302</v>
      </c>
      <c r="B614" t="s">
        <v>331</v>
      </c>
      <c r="C614" t="s">
        <v>332</v>
      </c>
      <c r="D614" s="47">
        <f>ROUNDUP((962.1),0)</f>
        <v>963</v>
      </c>
      <c r="E614" s="2"/>
      <c r="F614" s="37">
        <f t="shared" si="124"/>
        <v>0</v>
      </c>
      <c r="G614" s="2"/>
      <c r="H614" s="12">
        <f t="shared" si="125"/>
        <v>0</v>
      </c>
      <c r="I614" s="2"/>
      <c r="J614" s="16">
        <f>ROUNDUP((962.1),0)</f>
        <v>963</v>
      </c>
      <c r="K614" s="2"/>
      <c r="L614" s="13">
        <f t="shared" si="126"/>
        <v>-0.2660060975609756</v>
      </c>
      <c r="M614" s="2"/>
      <c r="N614" s="12">
        <f t="shared" si="127"/>
        <v>-349</v>
      </c>
      <c r="O614" s="2"/>
      <c r="P614" s="12">
        <v>1312</v>
      </c>
    </row>
    <row r="615" spans="1:17" x14ac:dyDescent="0.25">
      <c r="A615" t="s">
        <v>302</v>
      </c>
      <c r="B615" t="s">
        <v>333</v>
      </c>
      <c r="C615" t="s">
        <v>334</v>
      </c>
      <c r="D615" s="47">
        <f>ROUNDUP((2188.43),0)</f>
        <v>2189</v>
      </c>
      <c r="E615" s="2"/>
      <c r="F615" s="37">
        <f t="shared" si="124"/>
        <v>0</v>
      </c>
      <c r="G615" s="2"/>
      <c r="H615" s="12">
        <f t="shared" si="125"/>
        <v>0</v>
      </c>
      <c r="I615" s="2"/>
      <c r="J615" s="16">
        <f>ROUNDUP((2188.43),0)</f>
        <v>2189</v>
      </c>
      <c r="K615" s="2"/>
      <c r="L615" s="13">
        <f t="shared" si="126"/>
        <v>-0.14625585023400936</v>
      </c>
      <c r="M615" s="2"/>
      <c r="N615" s="12">
        <f t="shared" si="127"/>
        <v>-375</v>
      </c>
      <c r="O615" s="2"/>
      <c r="P615" s="12">
        <v>2564</v>
      </c>
    </row>
    <row r="616" spans="1:17" x14ac:dyDescent="0.25">
      <c r="A616" t="s">
        <v>302</v>
      </c>
      <c r="B616" t="s">
        <v>294</v>
      </c>
      <c r="C616" t="s">
        <v>295</v>
      </c>
      <c r="D616" s="47">
        <f>ROUNDUP((5306.55),0)</f>
        <v>5307</v>
      </c>
      <c r="E616" s="2"/>
      <c r="F616" s="37">
        <f t="shared" si="124"/>
        <v>0</v>
      </c>
      <c r="G616" s="2"/>
      <c r="H616" s="12">
        <f t="shared" si="125"/>
        <v>0</v>
      </c>
      <c r="I616" s="2"/>
      <c r="J616" s="16">
        <f>ROUNDUP((5306.55),0)</f>
        <v>5307</v>
      </c>
      <c r="K616" s="2"/>
      <c r="L616" s="13">
        <f t="shared" si="126"/>
        <v>0</v>
      </c>
      <c r="M616" s="2"/>
      <c r="N616" s="12">
        <f t="shared" si="127"/>
        <v>0</v>
      </c>
      <c r="O616" s="2"/>
      <c r="P616" s="12">
        <v>5307</v>
      </c>
    </row>
    <row r="617" spans="1:17" x14ac:dyDescent="0.25">
      <c r="D617" s="10"/>
      <c r="E617" s="2"/>
      <c r="F617" s="10"/>
      <c r="G617" s="2"/>
      <c r="H617" s="10"/>
      <c r="I617" s="2"/>
      <c r="J617" s="10"/>
      <c r="K617" s="2"/>
      <c r="L617" s="11"/>
      <c r="M617" s="2"/>
      <c r="N617" s="11"/>
      <c r="O617" s="2"/>
      <c r="P617" s="11"/>
    </row>
    <row r="618" spans="1:17" x14ac:dyDescent="0.25">
      <c r="A618" t="s">
        <v>5</v>
      </c>
      <c r="B618" t="s">
        <v>5</v>
      </c>
      <c r="C618" s="1" t="s">
        <v>392</v>
      </c>
      <c r="D618" s="57">
        <f>SUM(D565:D616)</f>
        <v>1364490</v>
      </c>
      <c r="E618" s="2"/>
      <c r="F618" s="59">
        <f>H618/J618</f>
        <v>5.6986269535410652E-2</v>
      </c>
      <c r="G618" s="2"/>
      <c r="H618" s="57">
        <f>SUM(H565:H616)</f>
        <v>73565</v>
      </c>
      <c r="I618" s="2"/>
      <c r="J618" s="57">
        <f>SUM(J565:J616)</f>
        <v>1290925</v>
      </c>
      <c r="K618" s="2"/>
      <c r="L618" s="59">
        <f>N618/P618</f>
        <v>-5.100815107122484E-2</v>
      </c>
      <c r="M618" s="2"/>
      <c r="N618" s="57">
        <f>SUM(N565:N616)</f>
        <v>-69387</v>
      </c>
      <c r="O618" s="2"/>
      <c r="P618" s="57">
        <f>SUM(P565:P616)</f>
        <v>1360312</v>
      </c>
    </row>
  </sheetData>
  <pageMargins left="0.7" right="0.7" top="0.75" bottom="0.75" header="0.3" footer="0.3"/>
  <pageSetup scale="1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29"/>
  <sheetViews>
    <sheetView view="pageBreakPreview" topLeftCell="A598" zoomScale="60" zoomScaleNormal="100" workbookViewId="0">
      <selection activeCell="A626" sqref="A626:R629"/>
    </sheetView>
  </sheetViews>
  <sheetFormatPr defaultRowHeight="15" x14ac:dyDescent="0.25"/>
  <cols>
    <col min="1" max="1" width="9.5703125" customWidth="1"/>
    <col min="2" max="2" width="8.42578125" customWidth="1"/>
    <col min="3" max="3" width="49.7109375" customWidth="1"/>
    <col min="4" max="4" width="22" customWidth="1"/>
    <col min="5" max="5" width="3.42578125" customWidth="1"/>
    <col min="6" max="6" width="18" customWidth="1"/>
    <col min="7" max="7" width="3.42578125" customWidth="1"/>
    <col min="8" max="8" width="21.28515625" customWidth="1"/>
    <col min="9" max="9" width="3.42578125" customWidth="1"/>
    <col min="10" max="10" width="22.7109375" customWidth="1"/>
    <col min="11" max="11" width="3.42578125" customWidth="1"/>
    <col min="12" max="12" width="21.42578125" style="3" customWidth="1"/>
    <col min="13" max="13" width="3.42578125" customWidth="1"/>
    <col min="14" max="14" width="21.42578125" style="3" customWidth="1"/>
    <col min="15" max="15" width="3.42578125" customWidth="1"/>
    <col min="16" max="16" width="20.85546875" style="3" customWidth="1"/>
    <col min="17" max="17" width="1.85546875" hidden="1" customWidth="1"/>
    <col min="18" max="18" width="3.42578125" customWidth="1"/>
  </cols>
  <sheetData>
    <row r="1" spans="1:18" ht="15.75" thickBot="1" x14ac:dyDescent="0.3"/>
    <row r="2" spans="1:18" ht="45.75" thickBot="1" x14ac:dyDescent="0.3">
      <c r="D2" s="6" t="s">
        <v>338</v>
      </c>
      <c r="F2" s="38" t="s">
        <v>411</v>
      </c>
      <c r="H2" s="38" t="s">
        <v>411</v>
      </c>
      <c r="J2" s="6" t="s">
        <v>339</v>
      </c>
      <c r="L2" s="61" t="s">
        <v>343</v>
      </c>
      <c r="N2" s="61" t="s">
        <v>343</v>
      </c>
      <c r="P2" s="7" t="s">
        <v>340</v>
      </c>
      <c r="Q2" s="62" t="s">
        <v>368</v>
      </c>
    </row>
    <row r="3" spans="1:18" ht="120" x14ac:dyDescent="0.25">
      <c r="A3" s="1" t="s">
        <v>0</v>
      </c>
      <c r="B3" s="1" t="s">
        <v>1</v>
      </c>
      <c r="C3" s="1" t="s">
        <v>2</v>
      </c>
      <c r="D3" s="5" t="s">
        <v>337</v>
      </c>
      <c r="E3" s="1"/>
      <c r="F3" s="5" t="s">
        <v>409</v>
      </c>
      <c r="G3" s="1"/>
      <c r="H3" s="5" t="s">
        <v>410</v>
      </c>
      <c r="I3" s="1"/>
      <c r="J3" s="5" t="s">
        <v>336</v>
      </c>
      <c r="K3" s="1"/>
      <c r="L3" s="4" t="s">
        <v>344</v>
      </c>
      <c r="M3" s="1"/>
      <c r="N3" s="4" t="s">
        <v>342</v>
      </c>
      <c r="O3" s="1"/>
      <c r="P3" s="4" t="s">
        <v>335</v>
      </c>
      <c r="R3" s="1"/>
    </row>
    <row r="4" spans="1:18" x14ac:dyDescent="0.25">
      <c r="A4" t="s">
        <v>6</v>
      </c>
      <c r="B4" t="s">
        <v>7</v>
      </c>
      <c r="C4" t="s">
        <v>8</v>
      </c>
      <c r="D4" s="12">
        <f>ROUNDUP((19500.52),0)</f>
        <v>19501</v>
      </c>
      <c r="E4" s="2"/>
      <c r="F4" s="36">
        <f>H4/J4</f>
        <v>0</v>
      </c>
      <c r="G4" s="2"/>
      <c r="H4" s="12">
        <f>D4-J4</f>
        <v>0</v>
      </c>
      <c r="I4" s="2"/>
      <c r="J4" s="12">
        <f>ROUNDUP((19500.52),0)</f>
        <v>19501</v>
      </c>
      <c r="K4" s="2"/>
      <c r="L4" s="13">
        <f>N4/P4</f>
        <v>-3.588271478367849E-4</v>
      </c>
      <c r="M4" s="2"/>
      <c r="N4" s="12">
        <f>J4-P4</f>
        <v>-7</v>
      </c>
      <c r="O4" s="2"/>
      <c r="P4" s="12">
        <v>19508</v>
      </c>
      <c r="R4" s="2"/>
    </row>
    <row r="5" spans="1:18" x14ac:dyDescent="0.25">
      <c r="A5" t="s">
        <v>6</v>
      </c>
      <c r="B5" t="s">
        <v>9</v>
      </c>
      <c r="C5" t="s">
        <v>10</v>
      </c>
      <c r="D5" s="12">
        <f>ROUNDUP((91.23),0)</f>
        <v>92</v>
      </c>
      <c r="E5" s="2"/>
      <c r="F5" s="36">
        <f t="shared" ref="F5:F12" si="0">H5/J5</f>
        <v>0</v>
      </c>
      <c r="G5" s="2"/>
      <c r="H5" s="12">
        <f t="shared" ref="H5:H12" si="1">D5-J5</f>
        <v>0</v>
      </c>
      <c r="I5" s="2"/>
      <c r="J5" s="12">
        <f>ROUNDUP((91.23),0)</f>
        <v>92</v>
      </c>
      <c r="K5" s="2"/>
      <c r="L5" s="13">
        <f t="shared" ref="L5:L12" si="2">N5/P5</f>
        <v>0.61403508771929827</v>
      </c>
      <c r="M5" s="2"/>
      <c r="N5" s="12">
        <f t="shared" ref="N5:N12" si="3">J5-P5</f>
        <v>35</v>
      </c>
      <c r="O5" s="2"/>
      <c r="P5" s="12">
        <v>57</v>
      </c>
      <c r="R5" s="2"/>
    </row>
    <row r="6" spans="1:18" x14ac:dyDescent="0.25">
      <c r="A6" t="s">
        <v>6</v>
      </c>
      <c r="B6" t="s">
        <v>11</v>
      </c>
      <c r="C6" t="s">
        <v>12</v>
      </c>
      <c r="D6" s="12">
        <f>ROUNDUP((1491.79),0)</f>
        <v>1492</v>
      </c>
      <c r="E6" s="2"/>
      <c r="F6" s="36">
        <f t="shared" si="0"/>
        <v>0</v>
      </c>
      <c r="G6" s="2"/>
      <c r="H6" s="12">
        <f t="shared" si="1"/>
        <v>0</v>
      </c>
      <c r="I6" s="2"/>
      <c r="J6" s="12">
        <f>ROUNDUP((1491.79),0)</f>
        <v>1492</v>
      </c>
      <c r="K6" s="2"/>
      <c r="L6" s="13">
        <f t="shared" si="2"/>
        <v>0</v>
      </c>
      <c r="M6" s="2"/>
      <c r="N6" s="12">
        <f t="shared" si="3"/>
        <v>0</v>
      </c>
      <c r="O6" s="2"/>
      <c r="P6" s="12">
        <v>1492</v>
      </c>
      <c r="R6" s="2"/>
    </row>
    <row r="7" spans="1:18" x14ac:dyDescent="0.25">
      <c r="A7" t="s">
        <v>6</v>
      </c>
      <c r="B7" t="s">
        <v>13</v>
      </c>
      <c r="C7" t="s">
        <v>14</v>
      </c>
      <c r="D7" s="12">
        <v>250</v>
      </c>
      <c r="E7" s="2"/>
      <c r="F7" s="36">
        <f t="shared" si="0"/>
        <v>0</v>
      </c>
      <c r="G7" s="2"/>
      <c r="H7" s="12">
        <f t="shared" si="1"/>
        <v>0</v>
      </c>
      <c r="I7" s="2"/>
      <c r="J7" s="12">
        <v>250</v>
      </c>
      <c r="K7" s="2"/>
      <c r="L7" s="13">
        <f t="shared" si="2"/>
        <v>-0.5</v>
      </c>
      <c r="M7" s="2"/>
      <c r="N7" s="12">
        <f t="shared" si="3"/>
        <v>-250</v>
      </c>
      <c r="O7" s="2"/>
      <c r="P7" s="12">
        <v>500</v>
      </c>
      <c r="R7" s="2"/>
    </row>
    <row r="8" spans="1:18" x14ac:dyDescent="0.25">
      <c r="A8" t="s">
        <v>6</v>
      </c>
      <c r="B8" t="s">
        <v>17</v>
      </c>
      <c r="C8" t="s">
        <v>18</v>
      </c>
      <c r="D8" s="12">
        <v>150</v>
      </c>
      <c r="E8" s="2"/>
      <c r="F8" s="36">
        <f t="shared" si="0"/>
        <v>0</v>
      </c>
      <c r="G8" s="2"/>
      <c r="H8" s="12">
        <f t="shared" si="1"/>
        <v>0</v>
      </c>
      <c r="I8" s="2"/>
      <c r="J8" s="12">
        <v>150</v>
      </c>
      <c r="K8" s="2"/>
      <c r="L8" s="13">
        <v>1</v>
      </c>
      <c r="M8" s="2"/>
      <c r="N8" s="12">
        <f t="shared" si="3"/>
        <v>150</v>
      </c>
      <c r="O8" s="2"/>
      <c r="P8" s="12">
        <v>0</v>
      </c>
      <c r="R8" s="2"/>
    </row>
    <row r="9" spans="1:18" x14ac:dyDescent="0.25">
      <c r="A9" t="s">
        <v>6</v>
      </c>
      <c r="B9" t="s">
        <v>19</v>
      </c>
      <c r="C9" t="s">
        <v>20</v>
      </c>
      <c r="D9" s="12">
        <v>50</v>
      </c>
      <c r="E9" s="2"/>
      <c r="F9" s="36">
        <f t="shared" si="0"/>
        <v>0</v>
      </c>
      <c r="G9" s="2"/>
      <c r="H9" s="12">
        <f t="shared" si="1"/>
        <v>0</v>
      </c>
      <c r="I9" s="2"/>
      <c r="J9" s="12">
        <v>50</v>
      </c>
      <c r="K9" s="2"/>
      <c r="L9" s="13">
        <f t="shared" si="2"/>
        <v>0</v>
      </c>
      <c r="M9" s="2"/>
      <c r="N9" s="12">
        <f t="shared" si="3"/>
        <v>0</v>
      </c>
      <c r="O9" s="2"/>
      <c r="P9" s="12">
        <v>50</v>
      </c>
      <c r="R9" s="2"/>
    </row>
    <row r="10" spans="1:18" x14ac:dyDescent="0.25">
      <c r="A10" t="s">
        <v>6</v>
      </c>
      <c r="B10" t="s">
        <v>21</v>
      </c>
      <c r="C10" t="s">
        <v>22</v>
      </c>
      <c r="D10" s="12">
        <v>0</v>
      </c>
      <c r="E10" s="2"/>
      <c r="F10" s="36">
        <v>0</v>
      </c>
      <c r="G10" s="2"/>
      <c r="H10" s="12">
        <f t="shared" si="1"/>
        <v>0</v>
      </c>
      <c r="I10" s="2"/>
      <c r="J10" s="12">
        <v>0</v>
      </c>
      <c r="K10" s="2"/>
      <c r="L10" s="13">
        <f t="shared" si="2"/>
        <v>-1</v>
      </c>
      <c r="M10" s="2"/>
      <c r="N10" s="12">
        <f t="shared" si="3"/>
        <v>-800</v>
      </c>
      <c r="O10" s="2"/>
      <c r="P10" s="12">
        <v>800</v>
      </c>
      <c r="R10" s="2"/>
    </row>
    <row r="11" spans="1:18" x14ac:dyDescent="0.25">
      <c r="A11" t="s">
        <v>6</v>
      </c>
      <c r="B11" t="s">
        <v>23</v>
      </c>
      <c r="C11" t="s">
        <v>24</v>
      </c>
      <c r="D11" s="12">
        <v>500</v>
      </c>
      <c r="E11" s="2"/>
      <c r="F11" s="36">
        <f t="shared" si="0"/>
        <v>0</v>
      </c>
      <c r="G11" s="2"/>
      <c r="H11" s="12">
        <f t="shared" si="1"/>
        <v>0</v>
      </c>
      <c r="I11" s="2"/>
      <c r="J11" s="12">
        <v>500</v>
      </c>
      <c r="K11" s="2"/>
      <c r="L11" s="13">
        <f t="shared" si="2"/>
        <v>0</v>
      </c>
      <c r="M11" s="2"/>
      <c r="N11" s="12">
        <f t="shared" si="3"/>
        <v>0</v>
      </c>
      <c r="O11" s="2"/>
      <c r="P11" s="12">
        <v>500</v>
      </c>
      <c r="R11" s="2"/>
    </row>
    <row r="12" spans="1:18" x14ac:dyDescent="0.25">
      <c r="A12" t="s">
        <v>6</v>
      </c>
      <c r="B12" t="s">
        <v>25</v>
      </c>
      <c r="C12" t="s">
        <v>26</v>
      </c>
      <c r="D12" s="12">
        <f>5000+1200</f>
        <v>6200</v>
      </c>
      <c r="E12" s="2"/>
      <c r="F12" s="36">
        <f t="shared" si="0"/>
        <v>0.24</v>
      </c>
      <c r="G12" s="2"/>
      <c r="H12" s="12">
        <f t="shared" si="1"/>
        <v>1200</v>
      </c>
      <c r="I12" s="2"/>
      <c r="J12" s="12">
        <v>5000</v>
      </c>
      <c r="K12" s="2"/>
      <c r="L12" s="13">
        <f t="shared" si="2"/>
        <v>0</v>
      </c>
      <c r="M12" s="2"/>
      <c r="N12" s="12">
        <f t="shared" si="3"/>
        <v>0</v>
      </c>
      <c r="O12" s="2"/>
      <c r="P12" s="9">
        <v>5000</v>
      </c>
      <c r="R12" s="2"/>
    </row>
    <row r="13" spans="1:18" x14ac:dyDescent="0.25">
      <c r="D13" s="2"/>
      <c r="E13" s="2"/>
      <c r="F13" s="2"/>
      <c r="G13" s="2"/>
      <c r="H13" s="2"/>
      <c r="I13" s="2"/>
      <c r="J13" s="2"/>
      <c r="K13" s="2"/>
      <c r="M13" s="2"/>
      <c r="O13" s="2"/>
      <c r="R13" s="2"/>
    </row>
    <row r="14" spans="1:18" x14ac:dyDescent="0.25">
      <c r="A14" t="s">
        <v>5</v>
      </c>
      <c r="B14" t="s">
        <v>5</v>
      </c>
      <c r="C14" s="1" t="s">
        <v>341</v>
      </c>
      <c r="D14" s="8">
        <f>SUM(D4:D12)</f>
        <v>28235</v>
      </c>
      <c r="E14" s="2"/>
      <c r="F14" s="15">
        <f>H14/J14</f>
        <v>4.4386905862770484E-2</v>
      </c>
      <c r="G14" s="2"/>
      <c r="H14" s="8">
        <f>SUM(H4:H12)</f>
        <v>1200</v>
      </c>
      <c r="I14" s="2"/>
      <c r="J14" s="8">
        <f>SUM(J4:J12)</f>
        <v>27035</v>
      </c>
      <c r="K14" s="2"/>
      <c r="L14" s="14">
        <f>N14/P14</f>
        <v>-3.1246640627799478E-2</v>
      </c>
      <c r="M14" s="2"/>
      <c r="N14" s="8">
        <f>SUM(N4:N12)</f>
        <v>-872</v>
      </c>
      <c r="O14" s="2"/>
      <c r="P14" s="8">
        <f>SUM(P4:P12)</f>
        <v>27907</v>
      </c>
      <c r="R14" s="2"/>
    </row>
    <row r="15" spans="1:18" x14ac:dyDescent="0.25">
      <c r="D15" s="2"/>
      <c r="E15" s="2"/>
      <c r="F15" s="2"/>
      <c r="G15" s="2"/>
      <c r="H15" s="2"/>
      <c r="I15" s="2"/>
      <c r="J15" s="2"/>
      <c r="K15" s="2"/>
      <c r="M15" s="2"/>
      <c r="O15" s="2"/>
      <c r="R15" s="2"/>
    </row>
    <row r="16" spans="1:18" x14ac:dyDescent="0.25">
      <c r="A16" t="s">
        <v>27</v>
      </c>
      <c r="B16" t="s">
        <v>28</v>
      </c>
      <c r="C16" t="s">
        <v>29</v>
      </c>
      <c r="D16" s="12">
        <v>113300</v>
      </c>
      <c r="E16" s="2"/>
      <c r="F16" s="37">
        <f>H16/J16</f>
        <v>0</v>
      </c>
      <c r="G16" s="2"/>
      <c r="H16" s="12">
        <f>D16-J16</f>
        <v>0</v>
      </c>
      <c r="I16" s="2"/>
      <c r="J16" s="12">
        <v>113300</v>
      </c>
      <c r="K16" s="2"/>
      <c r="L16" s="13">
        <f>N16/P16</f>
        <v>1.8701672361086136E-2</v>
      </c>
      <c r="M16" s="2"/>
      <c r="N16" s="12">
        <f>J16-P16</f>
        <v>2080</v>
      </c>
      <c r="O16" s="2"/>
      <c r="P16" s="9">
        <v>111220</v>
      </c>
      <c r="Q16" t="s">
        <v>355</v>
      </c>
      <c r="R16" s="2"/>
    </row>
    <row r="17" spans="1:18" x14ac:dyDescent="0.25">
      <c r="A17" t="s">
        <v>27</v>
      </c>
      <c r="B17" t="s">
        <v>30</v>
      </c>
      <c r="C17" t="s">
        <v>31</v>
      </c>
      <c r="D17" s="12">
        <f>ROUNDUP((177841.52),0)</f>
        <v>177842</v>
      </c>
      <c r="E17" s="2"/>
      <c r="F17" s="37">
        <f t="shared" ref="F17:F32" si="4">H17/J17</f>
        <v>4.0650691945346561E-2</v>
      </c>
      <c r="G17" s="2"/>
      <c r="H17" s="12">
        <f t="shared" ref="H17:H32" si="5">D17-J17</f>
        <v>6947</v>
      </c>
      <c r="I17" s="2"/>
      <c r="J17" s="12">
        <f>ROUNDUP((170894.32),0)</f>
        <v>170895</v>
      </c>
      <c r="K17" s="2"/>
      <c r="L17" s="13">
        <f t="shared" ref="L17:L32" si="6">N17/P17</f>
        <v>2.9456944067949759E-2</v>
      </c>
      <c r="M17" s="2"/>
      <c r="N17" s="12">
        <f t="shared" ref="N17:N32" si="7">J17-P17</f>
        <v>4890</v>
      </c>
      <c r="O17" s="2"/>
      <c r="P17" s="9">
        <v>166005</v>
      </c>
      <c r="Q17" t="s">
        <v>358</v>
      </c>
      <c r="R17" s="2"/>
    </row>
    <row r="18" spans="1:18" x14ac:dyDescent="0.25">
      <c r="A18" t="s">
        <v>27</v>
      </c>
      <c r="B18" t="s">
        <v>32</v>
      </c>
      <c r="C18" t="s">
        <v>33</v>
      </c>
      <c r="D18" s="12">
        <f>ROUNDUP((48734.4),0)</f>
        <v>48735</v>
      </c>
      <c r="E18" s="2"/>
      <c r="F18" s="37">
        <f t="shared" si="4"/>
        <v>3.3988924957036475E-2</v>
      </c>
      <c r="G18" s="2"/>
      <c r="H18" s="12">
        <f t="shared" si="5"/>
        <v>1602</v>
      </c>
      <c r="I18" s="2"/>
      <c r="J18" s="12">
        <f>ROUNDUP((47132.8),0)</f>
        <v>47133</v>
      </c>
      <c r="K18" s="2"/>
      <c r="L18" s="13">
        <f t="shared" si="6"/>
        <v>3.0004370629370631E-2</v>
      </c>
      <c r="M18" s="2"/>
      <c r="N18" s="12">
        <f t="shared" si="7"/>
        <v>1373</v>
      </c>
      <c r="O18" s="2"/>
      <c r="P18" s="9">
        <v>45760</v>
      </c>
      <c r="Q18" t="s">
        <v>355</v>
      </c>
      <c r="R18" s="2"/>
    </row>
    <row r="19" spans="1:18" x14ac:dyDescent="0.25">
      <c r="A19" t="s">
        <v>27</v>
      </c>
      <c r="B19" t="s">
        <v>34</v>
      </c>
      <c r="C19" t="s">
        <v>35</v>
      </c>
      <c r="D19" s="12">
        <f>ROUNDUP((235.2),0)</f>
        <v>236</v>
      </c>
      <c r="E19" s="2"/>
      <c r="F19" s="37">
        <f t="shared" si="4"/>
        <v>0</v>
      </c>
      <c r="G19" s="2"/>
      <c r="H19" s="12">
        <f t="shared" si="5"/>
        <v>0</v>
      </c>
      <c r="I19" s="2"/>
      <c r="J19" s="12">
        <f>ROUNDUP((235.2),0)</f>
        <v>236</v>
      </c>
      <c r="K19" s="2"/>
      <c r="L19" s="13">
        <f t="shared" si="6"/>
        <v>-0.20805369127516779</v>
      </c>
      <c r="M19" s="2"/>
      <c r="N19" s="12">
        <f t="shared" si="7"/>
        <v>-62</v>
      </c>
      <c r="O19" s="2"/>
      <c r="P19" s="9">
        <v>298</v>
      </c>
      <c r="R19" s="2"/>
    </row>
    <row r="20" spans="1:18" x14ac:dyDescent="0.25">
      <c r="A20" t="s">
        <v>27</v>
      </c>
      <c r="B20" t="s">
        <v>9</v>
      </c>
      <c r="C20" t="s">
        <v>10</v>
      </c>
      <c r="D20" s="12">
        <f>ROUNDUP((4849.82),0)</f>
        <v>4850</v>
      </c>
      <c r="E20" s="2"/>
      <c r="F20" s="37">
        <f t="shared" si="4"/>
        <v>8.3160083160083165E-3</v>
      </c>
      <c r="G20" s="2"/>
      <c r="H20" s="12">
        <f t="shared" si="5"/>
        <v>40</v>
      </c>
      <c r="I20" s="2"/>
      <c r="J20" s="12">
        <f>ROUNDUP((4809.82),0)</f>
        <v>4810</v>
      </c>
      <c r="K20" s="2"/>
      <c r="L20" s="13">
        <f t="shared" si="6"/>
        <v>0.36183465458663644</v>
      </c>
      <c r="M20" s="2"/>
      <c r="N20" s="12">
        <f t="shared" si="7"/>
        <v>1278</v>
      </c>
      <c r="O20" s="2"/>
      <c r="P20" s="9">
        <v>3532</v>
      </c>
      <c r="R20" s="2"/>
    </row>
    <row r="21" spans="1:18" x14ac:dyDescent="0.25">
      <c r="A21" t="s">
        <v>27</v>
      </c>
      <c r="B21" t="s">
        <v>36</v>
      </c>
      <c r="C21" t="s">
        <v>37</v>
      </c>
      <c r="D21" s="12">
        <f>ROUNDUP((34667.34),0)</f>
        <v>34668</v>
      </c>
      <c r="E21" s="2"/>
      <c r="F21" s="37">
        <f t="shared" si="4"/>
        <v>2.5801870043792165E-2</v>
      </c>
      <c r="G21" s="2"/>
      <c r="H21" s="12">
        <f t="shared" si="5"/>
        <v>872</v>
      </c>
      <c r="I21" s="2"/>
      <c r="J21" s="12">
        <f>ROUNDUP((33795.37),0)</f>
        <v>33796</v>
      </c>
      <c r="K21" s="2"/>
      <c r="L21" s="13">
        <f t="shared" si="6"/>
        <v>2.5862068965517241E-2</v>
      </c>
      <c r="M21" s="2"/>
      <c r="N21" s="12">
        <f t="shared" si="7"/>
        <v>852</v>
      </c>
      <c r="O21" s="2"/>
      <c r="P21" s="9">
        <v>32944</v>
      </c>
      <c r="R21" s="2"/>
    </row>
    <row r="22" spans="1:18" x14ac:dyDescent="0.25">
      <c r="A22" t="s">
        <v>27</v>
      </c>
      <c r="B22" t="s">
        <v>38</v>
      </c>
      <c r="C22" t="s">
        <v>39</v>
      </c>
      <c r="D22" s="12">
        <f>ROUNDUP((30774.57),0)</f>
        <v>30775</v>
      </c>
      <c r="E22" s="2"/>
      <c r="F22" s="37">
        <f t="shared" si="4"/>
        <v>0</v>
      </c>
      <c r="G22" s="2"/>
      <c r="H22" s="12">
        <f t="shared" si="5"/>
        <v>0</v>
      </c>
      <c r="I22" s="2"/>
      <c r="J22" s="12">
        <f>ROUNDUP((30774.57),)</f>
        <v>30775</v>
      </c>
      <c r="K22" s="2"/>
      <c r="L22" s="13">
        <f t="shared" si="6"/>
        <v>-0.51853879849812268</v>
      </c>
      <c r="M22" s="2"/>
      <c r="N22" s="12">
        <f t="shared" si="7"/>
        <v>-33145</v>
      </c>
      <c r="O22" s="2"/>
      <c r="P22" s="9">
        <v>63920</v>
      </c>
      <c r="R22" s="2"/>
    </row>
    <row r="23" spans="1:18" x14ac:dyDescent="0.25">
      <c r="A23" t="s">
        <v>27</v>
      </c>
      <c r="B23" t="s">
        <v>11</v>
      </c>
      <c r="C23" t="s">
        <v>12</v>
      </c>
      <c r="D23" s="12">
        <f>ROUNDUP((26000.51),0)</f>
        <v>26001</v>
      </c>
      <c r="E23" s="2"/>
      <c r="F23" s="37">
        <f t="shared" si="4"/>
        <v>2.5801870043792165E-2</v>
      </c>
      <c r="G23" s="2"/>
      <c r="H23" s="12">
        <f t="shared" si="5"/>
        <v>654</v>
      </c>
      <c r="I23" s="2"/>
      <c r="J23" s="12">
        <f>ROUNDUP((25346.52),0)</f>
        <v>25347</v>
      </c>
      <c r="K23" s="2"/>
      <c r="L23" s="13">
        <f t="shared" si="6"/>
        <v>2.5862068965517241E-2</v>
      </c>
      <c r="M23" s="2"/>
      <c r="N23" s="12">
        <f t="shared" si="7"/>
        <v>639</v>
      </c>
      <c r="O23" s="2"/>
      <c r="P23" s="9">
        <v>24708</v>
      </c>
      <c r="R23" s="2"/>
    </row>
    <row r="24" spans="1:18" x14ac:dyDescent="0.25">
      <c r="A24" t="s">
        <v>27</v>
      </c>
      <c r="B24" t="s">
        <v>13</v>
      </c>
      <c r="C24" t="s">
        <v>14</v>
      </c>
      <c r="D24" s="12">
        <v>2000</v>
      </c>
      <c r="E24" s="2"/>
      <c r="F24" s="37">
        <f t="shared" si="4"/>
        <v>0</v>
      </c>
      <c r="G24" s="2"/>
      <c r="H24" s="12">
        <f t="shared" si="5"/>
        <v>0</v>
      </c>
      <c r="I24" s="2"/>
      <c r="J24" s="12">
        <v>2000</v>
      </c>
      <c r="K24" s="2"/>
      <c r="L24" s="13">
        <f t="shared" si="6"/>
        <v>0</v>
      </c>
      <c r="M24" s="2"/>
      <c r="N24" s="12">
        <f t="shared" si="7"/>
        <v>0</v>
      </c>
      <c r="O24" s="2"/>
      <c r="P24" s="9">
        <v>2000</v>
      </c>
      <c r="R24" s="2"/>
    </row>
    <row r="25" spans="1:18" x14ac:dyDescent="0.25">
      <c r="A25" t="s">
        <v>27</v>
      </c>
      <c r="B25" t="s">
        <v>19</v>
      </c>
      <c r="C25" t="s">
        <v>20</v>
      </c>
      <c r="D25" s="12">
        <v>75</v>
      </c>
      <c r="E25" s="2"/>
      <c r="F25" s="37">
        <f t="shared" si="4"/>
        <v>0</v>
      </c>
      <c r="G25" s="2"/>
      <c r="H25" s="12">
        <f t="shared" si="5"/>
        <v>0</v>
      </c>
      <c r="I25" s="2"/>
      <c r="J25" s="12">
        <v>75</v>
      </c>
      <c r="K25" s="2"/>
      <c r="L25" s="13">
        <f t="shared" si="6"/>
        <v>-0.75</v>
      </c>
      <c r="M25" s="2"/>
      <c r="N25" s="12">
        <f t="shared" si="7"/>
        <v>-225</v>
      </c>
      <c r="O25" s="2"/>
      <c r="P25" s="9">
        <v>300</v>
      </c>
      <c r="R25" s="2"/>
    </row>
    <row r="26" spans="1:18" x14ac:dyDescent="0.25">
      <c r="A26" t="s">
        <v>27</v>
      </c>
      <c r="B26" t="s">
        <v>21</v>
      </c>
      <c r="C26" t="s">
        <v>22</v>
      </c>
      <c r="D26" s="12">
        <v>1000</v>
      </c>
      <c r="E26" s="2"/>
      <c r="F26" s="37">
        <f t="shared" si="4"/>
        <v>0</v>
      </c>
      <c r="G26" s="2"/>
      <c r="H26" s="12">
        <f t="shared" si="5"/>
        <v>0</v>
      </c>
      <c r="I26" s="2"/>
      <c r="J26" s="12">
        <v>1000</v>
      </c>
      <c r="K26" s="2"/>
      <c r="L26" s="13">
        <f t="shared" si="6"/>
        <v>0</v>
      </c>
      <c r="M26" s="2"/>
      <c r="N26" s="12">
        <f t="shared" si="7"/>
        <v>0</v>
      </c>
      <c r="O26" s="2"/>
      <c r="P26" s="9">
        <v>1000</v>
      </c>
      <c r="R26" s="2"/>
    </row>
    <row r="27" spans="1:18" x14ac:dyDescent="0.25">
      <c r="A27" t="s">
        <v>27</v>
      </c>
      <c r="B27" t="s">
        <v>40</v>
      </c>
      <c r="C27" t="s">
        <v>41</v>
      </c>
      <c r="D27" s="12">
        <v>1260</v>
      </c>
      <c r="E27" s="2"/>
      <c r="F27" s="37">
        <f t="shared" si="4"/>
        <v>0</v>
      </c>
      <c r="G27" s="2"/>
      <c r="H27" s="12">
        <f t="shared" si="5"/>
        <v>0</v>
      </c>
      <c r="I27" s="2"/>
      <c r="J27" s="12">
        <v>1260</v>
      </c>
      <c r="K27" s="2"/>
      <c r="L27" s="13">
        <f t="shared" si="6"/>
        <v>0</v>
      </c>
      <c r="M27" s="2"/>
      <c r="N27" s="12">
        <f t="shared" si="7"/>
        <v>0</v>
      </c>
      <c r="O27" s="2"/>
      <c r="P27" s="9">
        <v>1260</v>
      </c>
      <c r="R27" s="2"/>
    </row>
    <row r="28" spans="1:18" x14ac:dyDescent="0.25">
      <c r="A28" t="s">
        <v>27</v>
      </c>
      <c r="B28" t="s">
        <v>23</v>
      </c>
      <c r="C28" t="s">
        <v>24</v>
      </c>
      <c r="D28" s="12">
        <v>7000</v>
      </c>
      <c r="E28" s="2"/>
      <c r="F28" s="37">
        <f t="shared" si="4"/>
        <v>0</v>
      </c>
      <c r="G28" s="2"/>
      <c r="H28" s="12">
        <f t="shared" si="5"/>
        <v>0</v>
      </c>
      <c r="I28" s="2"/>
      <c r="J28" s="12">
        <v>7000</v>
      </c>
      <c r="K28" s="2"/>
      <c r="L28" s="13">
        <f t="shared" si="6"/>
        <v>0.75</v>
      </c>
      <c r="M28" s="2"/>
      <c r="N28" s="12">
        <f t="shared" si="7"/>
        <v>3000</v>
      </c>
      <c r="O28" s="2"/>
      <c r="P28" s="9">
        <v>4000</v>
      </c>
      <c r="R28" s="2"/>
    </row>
    <row r="29" spans="1:18" x14ac:dyDescent="0.25">
      <c r="A29" t="s">
        <v>27</v>
      </c>
      <c r="B29" t="s">
        <v>42</v>
      </c>
      <c r="C29" t="s">
        <v>43</v>
      </c>
      <c r="D29" s="12">
        <v>2000</v>
      </c>
      <c r="E29" s="2"/>
      <c r="F29" s="37">
        <f t="shared" si="4"/>
        <v>0</v>
      </c>
      <c r="G29" s="2"/>
      <c r="H29" s="12">
        <f t="shared" si="5"/>
        <v>0</v>
      </c>
      <c r="I29" s="2"/>
      <c r="J29" s="12">
        <v>2000</v>
      </c>
      <c r="K29" s="2"/>
      <c r="L29" s="13">
        <f t="shared" si="6"/>
        <v>19</v>
      </c>
      <c r="M29" s="2"/>
      <c r="N29" s="12">
        <f t="shared" si="7"/>
        <v>1900</v>
      </c>
      <c r="O29" s="2"/>
      <c r="P29" s="9">
        <v>100</v>
      </c>
      <c r="R29" s="2"/>
    </row>
    <row r="30" spans="1:18" x14ac:dyDescent="0.25">
      <c r="A30" t="s">
        <v>27</v>
      </c>
      <c r="B30" t="s">
        <v>44</v>
      </c>
      <c r="C30" t="s">
        <v>45</v>
      </c>
      <c r="D30" s="12">
        <v>6020</v>
      </c>
      <c r="E30" s="2"/>
      <c r="F30" s="37">
        <f t="shared" si="4"/>
        <v>0</v>
      </c>
      <c r="G30" s="2"/>
      <c r="H30" s="12">
        <f t="shared" si="5"/>
        <v>0</v>
      </c>
      <c r="I30" s="2"/>
      <c r="J30" s="12">
        <v>6020</v>
      </c>
      <c r="K30" s="2"/>
      <c r="L30" s="13">
        <f t="shared" si="6"/>
        <v>1.0758620689655172</v>
      </c>
      <c r="M30" s="2"/>
      <c r="N30" s="12">
        <f t="shared" si="7"/>
        <v>3120</v>
      </c>
      <c r="O30" s="2"/>
      <c r="P30" s="9">
        <v>2900</v>
      </c>
      <c r="R30" s="2"/>
    </row>
    <row r="31" spans="1:18" x14ac:dyDescent="0.25">
      <c r="A31" s="20" t="s">
        <v>27</v>
      </c>
      <c r="B31" s="20" t="s">
        <v>51</v>
      </c>
      <c r="C31" t="s">
        <v>421</v>
      </c>
      <c r="D31" s="12">
        <v>5000</v>
      </c>
      <c r="E31" s="2"/>
      <c r="F31" s="37">
        <v>1</v>
      </c>
      <c r="G31" s="2"/>
      <c r="H31" s="12">
        <f t="shared" si="5"/>
        <v>5000</v>
      </c>
      <c r="I31" s="2"/>
      <c r="J31" s="12">
        <v>0</v>
      </c>
      <c r="K31" s="2"/>
      <c r="L31" s="13">
        <v>0</v>
      </c>
      <c r="M31" s="2"/>
      <c r="N31" s="12">
        <f t="shared" si="7"/>
        <v>0</v>
      </c>
      <c r="O31" s="2"/>
      <c r="P31" s="9">
        <v>0</v>
      </c>
      <c r="Q31" t="s">
        <v>422</v>
      </c>
      <c r="R31" s="2"/>
    </row>
    <row r="32" spans="1:18" x14ac:dyDescent="0.25">
      <c r="A32" t="s">
        <v>27</v>
      </c>
      <c r="B32" t="s">
        <v>46</v>
      </c>
      <c r="C32" t="s">
        <v>47</v>
      </c>
      <c r="D32" s="12">
        <v>12934</v>
      </c>
      <c r="E32" s="2"/>
      <c r="F32" s="37">
        <f t="shared" si="4"/>
        <v>0</v>
      </c>
      <c r="G32" s="2"/>
      <c r="H32" s="12">
        <f t="shared" si="5"/>
        <v>0</v>
      </c>
      <c r="I32" s="2"/>
      <c r="J32" s="12">
        <v>12934</v>
      </c>
      <c r="K32" s="2"/>
      <c r="L32" s="13">
        <f t="shared" si="6"/>
        <v>0.30199315482182404</v>
      </c>
      <c r="M32" s="2"/>
      <c r="N32" s="12">
        <f t="shared" si="7"/>
        <v>3000</v>
      </c>
      <c r="O32" s="2"/>
      <c r="P32" s="9">
        <v>9934</v>
      </c>
      <c r="R32" s="2"/>
    </row>
    <row r="33" spans="1:18" x14ac:dyDescent="0.25">
      <c r="D33" s="10"/>
      <c r="E33" s="2"/>
      <c r="F33" s="10"/>
      <c r="G33" s="2"/>
      <c r="H33" s="10"/>
      <c r="I33" s="2"/>
      <c r="J33" s="10"/>
      <c r="K33" s="2"/>
      <c r="L33" s="11"/>
      <c r="M33" s="2"/>
      <c r="N33" s="11"/>
      <c r="O33" s="2"/>
      <c r="P33" s="11"/>
      <c r="R33" s="2"/>
    </row>
    <row r="34" spans="1:18" x14ac:dyDescent="0.25">
      <c r="A34" t="s">
        <v>5</v>
      </c>
      <c r="B34" t="s">
        <v>5</v>
      </c>
      <c r="C34" s="1" t="s">
        <v>345</v>
      </c>
      <c r="D34" s="8">
        <f>SUM(D16:D32)</f>
        <v>473696</v>
      </c>
      <c r="E34" s="2"/>
      <c r="F34" s="15">
        <f>H34/J34</f>
        <v>3.2960371232126931E-2</v>
      </c>
      <c r="G34" s="2"/>
      <c r="H34" s="8">
        <f>SUM(H16:H33)</f>
        <v>15115</v>
      </c>
      <c r="I34" s="2"/>
      <c r="J34" s="8">
        <f>SUM(J16:J32)</f>
        <v>458581</v>
      </c>
      <c r="K34" s="2"/>
      <c r="L34" s="15">
        <f>N34/P34</f>
        <v>-2.4048642103000548E-2</v>
      </c>
      <c r="M34" s="2"/>
      <c r="N34" s="8">
        <f>SUM(N16:N32)</f>
        <v>-11300</v>
      </c>
      <c r="O34" s="2"/>
      <c r="P34" s="8">
        <f>SUM(P16:P32)</f>
        <v>469881</v>
      </c>
      <c r="R34" s="2"/>
    </row>
    <row r="35" spans="1:18" x14ac:dyDescent="0.25">
      <c r="D35" s="2"/>
      <c r="E35" s="2"/>
      <c r="F35" s="2"/>
      <c r="G35" s="2"/>
      <c r="H35" s="2"/>
      <c r="I35" s="2"/>
      <c r="J35" s="2"/>
      <c r="K35" s="2"/>
      <c r="M35" s="2"/>
      <c r="O35" s="2"/>
      <c r="R35" s="2"/>
    </row>
    <row r="36" spans="1:18" x14ac:dyDescent="0.25">
      <c r="A36" t="s">
        <v>48</v>
      </c>
      <c r="B36" t="s">
        <v>7</v>
      </c>
      <c r="C36" t="s">
        <v>49</v>
      </c>
      <c r="D36" s="12">
        <f>ROUNDUP((787.8),0)</f>
        <v>788</v>
      </c>
      <c r="E36" s="2"/>
      <c r="F36" s="37">
        <f t="shared" ref="F36:F42" si="8">H36/J36</f>
        <v>0</v>
      </c>
      <c r="G36" s="2"/>
      <c r="H36" s="12">
        <f t="shared" ref="H36:H42" si="9">D36-J36</f>
        <v>0</v>
      </c>
      <c r="I36" s="2"/>
      <c r="J36" s="12">
        <f>ROUNDUP((787.8),0)</f>
        <v>788</v>
      </c>
      <c r="K36" s="2"/>
      <c r="L36" s="13">
        <f>N36/P36</f>
        <v>-1.2674271229404308E-3</v>
      </c>
      <c r="M36" s="2"/>
      <c r="N36" s="12">
        <f>J36-P36</f>
        <v>-1</v>
      </c>
      <c r="O36" s="2"/>
      <c r="P36" s="12">
        <v>789</v>
      </c>
      <c r="R36" s="2"/>
    </row>
    <row r="37" spans="1:18" x14ac:dyDescent="0.25">
      <c r="A37" t="s">
        <v>48</v>
      </c>
      <c r="B37" t="s">
        <v>9</v>
      </c>
      <c r="C37" t="s">
        <v>10</v>
      </c>
      <c r="D37" s="12">
        <f>ROUNDUP((3.69),0)</f>
        <v>4</v>
      </c>
      <c r="E37" s="2"/>
      <c r="F37" s="37">
        <f t="shared" si="8"/>
        <v>0</v>
      </c>
      <c r="G37" s="2"/>
      <c r="H37" s="12">
        <f t="shared" si="9"/>
        <v>0</v>
      </c>
      <c r="I37" s="2"/>
      <c r="J37" s="12">
        <f>ROUNDUP((3.69),0)</f>
        <v>4</v>
      </c>
      <c r="K37" s="2"/>
      <c r="L37" s="13">
        <f t="shared" ref="L37:L42" si="10">N37/P37</f>
        <v>3</v>
      </c>
      <c r="M37" s="2"/>
      <c r="N37" s="12">
        <f t="shared" ref="N37:N42" si="11">J37-P37</f>
        <v>3</v>
      </c>
      <c r="O37" s="2"/>
      <c r="P37" s="12">
        <v>1</v>
      </c>
      <c r="R37" s="2"/>
    </row>
    <row r="38" spans="1:18" x14ac:dyDescent="0.25">
      <c r="A38" t="s">
        <v>48</v>
      </c>
      <c r="B38" t="s">
        <v>11</v>
      </c>
      <c r="C38" t="s">
        <v>12</v>
      </c>
      <c r="D38" s="12">
        <f>ROUNDUP((60.27),0)</f>
        <v>61</v>
      </c>
      <c r="E38" s="2"/>
      <c r="F38" s="37">
        <f t="shared" si="8"/>
        <v>0</v>
      </c>
      <c r="G38" s="2"/>
      <c r="H38" s="12">
        <f t="shared" si="9"/>
        <v>0</v>
      </c>
      <c r="I38" s="2"/>
      <c r="J38" s="12">
        <f>ROUNDUP((60.27),0)</f>
        <v>61</v>
      </c>
      <c r="K38" s="2"/>
      <c r="L38" s="13">
        <f t="shared" si="10"/>
        <v>1.6666666666666666E-2</v>
      </c>
      <c r="M38" s="2"/>
      <c r="N38" s="12">
        <f t="shared" si="11"/>
        <v>1</v>
      </c>
      <c r="O38" s="2"/>
      <c r="P38" s="12">
        <v>60</v>
      </c>
      <c r="R38" s="2"/>
    </row>
    <row r="39" spans="1:18" x14ac:dyDescent="0.25">
      <c r="A39" t="s">
        <v>48</v>
      </c>
      <c r="B39" t="s">
        <v>13</v>
      </c>
      <c r="C39" t="s">
        <v>14</v>
      </c>
      <c r="D39" s="12">
        <v>50</v>
      </c>
      <c r="E39" s="2"/>
      <c r="F39" s="37">
        <f t="shared" si="8"/>
        <v>0</v>
      </c>
      <c r="G39" s="2"/>
      <c r="H39" s="12">
        <f t="shared" si="9"/>
        <v>0</v>
      </c>
      <c r="I39" s="2"/>
      <c r="J39" s="12">
        <v>50</v>
      </c>
      <c r="K39" s="2"/>
      <c r="L39" s="13">
        <f t="shared" si="10"/>
        <v>0</v>
      </c>
      <c r="M39" s="2"/>
      <c r="N39" s="12">
        <f t="shared" si="11"/>
        <v>0</v>
      </c>
      <c r="O39" s="2"/>
      <c r="P39" s="12">
        <v>50</v>
      </c>
      <c r="R39" s="2"/>
    </row>
    <row r="40" spans="1:18" x14ac:dyDescent="0.25">
      <c r="A40" t="s">
        <v>48</v>
      </c>
      <c r="B40" t="s">
        <v>19</v>
      </c>
      <c r="C40" t="s">
        <v>20</v>
      </c>
      <c r="D40" s="12">
        <v>50</v>
      </c>
      <c r="E40" s="2"/>
      <c r="F40" s="37">
        <f t="shared" si="8"/>
        <v>0</v>
      </c>
      <c r="G40" s="2"/>
      <c r="H40" s="12">
        <f t="shared" si="9"/>
        <v>0</v>
      </c>
      <c r="I40" s="2"/>
      <c r="J40" s="12">
        <v>50</v>
      </c>
      <c r="K40" s="2"/>
      <c r="L40" s="13">
        <f t="shared" si="10"/>
        <v>0</v>
      </c>
      <c r="M40" s="2"/>
      <c r="N40" s="12">
        <f t="shared" si="11"/>
        <v>0</v>
      </c>
      <c r="O40" s="2"/>
      <c r="P40" s="12">
        <v>50</v>
      </c>
      <c r="R40" s="2"/>
    </row>
    <row r="41" spans="1:18" x14ac:dyDescent="0.25">
      <c r="A41" t="s">
        <v>48</v>
      </c>
      <c r="B41" t="s">
        <v>21</v>
      </c>
      <c r="C41" t="s">
        <v>22</v>
      </c>
      <c r="D41" s="12">
        <v>250</v>
      </c>
      <c r="E41" s="2"/>
      <c r="F41" s="37">
        <f t="shared" si="8"/>
        <v>0</v>
      </c>
      <c r="G41" s="2"/>
      <c r="H41" s="12">
        <f t="shared" si="9"/>
        <v>0</v>
      </c>
      <c r="I41" s="2"/>
      <c r="J41" s="12">
        <v>250</v>
      </c>
      <c r="K41" s="2"/>
      <c r="L41" s="13">
        <f t="shared" si="10"/>
        <v>0</v>
      </c>
      <c r="M41" s="2"/>
      <c r="N41" s="12">
        <f t="shared" si="11"/>
        <v>0</v>
      </c>
      <c r="O41" s="2"/>
      <c r="P41" s="12">
        <v>250</v>
      </c>
      <c r="R41" s="2"/>
    </row>
    <row r="42" spans="1:18" x14ac:dyDescent="0.25">
      <c r="A42" t="s">
        <v>48</v>
      </c>
      <c r="B42" t="s">
        <v>23</v>
      </c>
      <c r="C42" t="s">
        <v>24</v>
      </c>
      <c r="D42" s="12">
        <v>140</v>
      </c>
      <c r="E42" s="2"/>
      <c r="F42" s="37">
        <f t="shared" si="8"/>
        <v>0</v>
      </c>
      <c r="G42" s="2"/>
      <c r="H42" s="12">
        <f t="shared" si="9"/>
        <v>0</v>
      </c>
      <c r="I42" s="2"/>
      <c r="J42" s="12">
        <v>140</v>
      </c>
      <c r="K42" s="2"/>
      <c r="L42" s="13">
        <f t="shared" si="10"/>
        <v>0</v>
      </c>
      <c r="M42" s="2"/>
      <c r="N42" s="12">
        <f t="shared" si="11"/>
        <v>0</v>
      </c>
      <c r="O42" s="2"/>
      <c r="P42" s="12">
        <v>140</v>
      </c>
      <c r="R42" s="2"/>
    </row>
    <row r="43" spans="1:18" x14ac:dyDescent="0.25">
      <c r="D43" s="2"/>
      <c r="E43" s="2"/>
      <c r="F43" s="2"/>
      <c r="G43" s="2"/>
      <c r="H43" s="2"/>
      <c r="I43" s="2"/>
      <c r="J43" s="2"/>
      <c r="K43" s="2"/>
      <c r="M43" s="2"/>
      <c r="O43" s="2"/>
      <c r="R43" s="2"/>
    </row>
    <row r="44" spans="1:18" x14ac:dyDescent="0.25">
      <c r="A44" t="s">
        <v>5</v>
      </c>
      <c r="B44" t="s">
        <v>5</v>
      </c>
      <c r="C44" s="1" t="s">
        <v>346</v>
      </c>
      <c r="D44" s="8">
        <f>SUM(D36:D42)</f>
        <v>1343</v>
      </c>
      <c r="E44" s="2"/>
      <c r="F44" s="29">
        <f>H44/J44</f>
        <v>0</v>
      </c>
      <c r="G44" s="2"/>
      <c r="H44" s="8">
        <f>SUM(H36:H42)</f>
        <v>0</v>
      </c>
      <c r="I44" s="2"/>
      <c r="J44" s="8">
        <f>SUM(J36:J42)</f>
        <v>1343</v>
      </c>
      <c r="K44" s="2"/>
      <c r="L44" s="15">
        <f>N44/P44</f>
        <v>2.2388059701492539E-3</v>
      </c>
      <c r="M44" s="2"/>
      <c r="N44" s="8">
        <f>SUM(N36:N42)</f>
        <v>3</v>
      </c>
      <c r="O44" s="2"/>
      <c r="P44" s="8">
        <f>SUM(P36:P42)</f>
        <v>1340</v>
      </c>
      <c r="R44" s="2"/>
    </row>
    <row r="45" spans="1:18" x14ac:dyDescent="0.25">
      <c r="D45" s="2"/>
      <c r="E45" s="2"/>
      <c r="F45" s="2"/>
      <c r="G45" s="2"/>
      <c r="H45" s="2"/>
      <c r="I45" s="2"/>
      <c r="J45" s="2"/>
      <c r="K45" s="2"/>
      <c r="M45" s="2"/>
      <c r="O45" s="2"/>
      <c r="R45" s="2"/>
    </row>
    <row r="46" spans="1:18" x14ac:dyDescent="0.25">
      <c r="A46" t="s">
        <v>50</v>
      </c>
      <c r="B46" t="s">
        <v>7</v>
      </c>
      <c r="C46" t="s">
        <v>49</v>
      </c>
      <c r="D46" s="12">
        <f>ROUNDUP((5249.52),0)</f>
        <v>5250</v>
      </c>
      <c r="E46" s="2"/>
      <c r="F46" s="37">
        <f t="shared" ref="F46:F53" si="12">H46/J46</f>
        <v>0</v>
      </c>
      <c r="G46" s="2"/>
      <c r="H46" s="12">
        <f t="shared" ref="H46:H53" si="13">D46-J46</f>
        <v>0</v>
      </c>
      <c r="I46" s="2"/>
      <c r="J46" s="12">
        <f>ROUNDUP((5249.52),0)</f>
        <v>5250</v>
      </c>
      <c r="K46" s="2"/>
      <c r="L46" s="13">
        <f>N46/P46</f>
        <v>0</v>
      </c>
      <c r="M46" s="2"/>
      <c r="N46" s="12">
        <f>J46-P46</f>
        <v>0</v>
      </c>
      <c r="O46" s="2"/>
      <c r="P46" s="12">
        <v>5250</v>
      </c>
      <c r="R46" s="2"/>
    </row>
    <row r="47" spans="1:18" x14ac:dyDescent="0.25">
      <c r="A47" t="s">
        <v>50</v>
      </c>
      <c r="B47" t="s">
        <v>9</v>
      </c>
      <c r="C47" t="s">
        <v>10</v>
      </c>
      <c r="D47" s="12">
        <f>ROUNDUP((24.56),0)</f>
        <v>25</v>
      </c>
      <c r="E47" s="2"/>
      <c r="F47" s="37">
        <f t="shared" si="12"/>
        <v>0</v>
      </c>
      <c r="G47" s="2"/>
      <c r="H47" s="12">
        <f t="shared" si="13"/>
        <v>0</v>
      </c>
      <c r="I47" s="2"/>
      <c r="J47" s="12">
        <f>ROUNDUP((24.56),0)</f>
        <v>25</v>
      </c>
      <c r="K47" s="2"/>
      <c r="L47" s="13">
        <f t="shared" ref="L47:L53" si="14">N47/P47</f>
        <v>0.7857142857142857</v>
      </c>
      <c r="M47" s="2"/>
      <c r="N47" s="12">
        <f t="shared" ref="N47:N53" si="15">J47-P47</f>
        <v>11</v>
      </c>
      <c r="O47" s="2"/>
      <c r="P47" s="12">
        <v>14</v>
      </c>
      <c r="R47" s="2"/>
    </row>
    <row r="48" spans="1:18" x14ac:dyDescent="0.25">
      <c r="A48" t="s">
        <v>50</v>
      </c>
      <c r="B48" t="s">
        <v>11</v>
      </c>
      <c r="C48" t="s">
        <v>12</v>
      </c>
      <c r="D48" s="12">
        <f>ROUNDUP((401.59),0)</f>
        <v>402</v>
      </c>
      <c r="E48" s="2"/>
      <c r="F48" s="37">
        <f t="shared" si="12"/>
        <v>0</v>
      </c>
      <c r="G48" s="2"/>
      <c r="H48" s="12">
        <f t="shared" si="13"/>
        <v>0</v>
      </c>
      <c r="I48" s="2"/>
      <c r="J48" s="12">
        <f>ROUNDUP((401.59),0)</f>
        <v>402</v>
      </c>
      <c r="K48" s="2"/>
      <c r="L48" s="13">
        <f t="shared" si="14"/>
        <v>0</v>
      </c>
      <c r="M48" s="2"/>
      <c r="N48" s="12">
        <f t="shared" si="15"/>
        <v>0</v>
      </c>
      <c r="O48" s="2"/>
      <c r="P48" s="12">
        <v>402</v>
      </c>
      <c r="R48" s="2"/>
    </row>
    <row r="49" spans="1:18" x14ac:dyDescent="0.25">
      <c r="A49" t="s">
        <v>50</v>
      </c>
      <c r="B49" t="s">
        <v>13</v>
      </c>
      <c r="C49" t="s">
        <v>14</v>
      </c>
      <c r="D49" s="12">
        <v>250</v>
      </c>
      <c r="E49" s="2"/>
      <c r="F49" s="37">
        <f t="shared" si="12"/>
        <v>0</v>
      </c>
      <c r="G49" s="2"/>
      <c r="H49" s="12">
        <f t="shared" si="13"/>
        <v>0</v>
      </c>
      <c r="I49" s="2"/>
      <c r="J49" s="12">
        <v>250</v>
      </c>
      <c r="K49" s="2"/>
      <c r="L49" s="13">
        <f t="shared" si="14"/>
        <v>0</v>
      </c>
      <c r="M49" s="2"/>
      <c r="N49" s="12">
        <f t="shared" si="15"/>
        <v>0</v>
      </c>
      <c r="O49" s="2"/>
      <c r="P49" s="12">
        <v>250</v>
      </c>
      <c r="R49" s="2"/>
    </row>
    <row r="50" spans="1:18" x14ac:dyDescent="0.25">
      <c r="A50" t="s">
        <v>50</v>
      </c>
      <c r="B50" t="s">
        <v>19</v>
      </c>
      <c r="C50" t="s">
        <v>20</v>
      </c>
      <c r="D50" s="12">
        <v>200</v>
      </c>
      <c r="E50" s="2"/>
      <c r="F50" s="37">
        <f t="shared" si="12"/>
        <v>0</v>
      </c>
      <c r="G50" s="2"/>
      <c r="H50" s="12">
        <f t="shared" si="13"/>
        <v>0</v>
      </c>
      <c r="I50" s="2"/>
      <c r="J50" s="12">
        <v>200</v>
      </c>
      <c r="K50" s="2"/>
      <c r="L50" s="13">
        <f t="shared" si="14"/>
        <v>0.33333333333333331</v>
      </c>
      <c r="M50" s="2"/>
      <c r="N50" s="12">
        <f t="shared" si="15"/>
        <v>50</v>
      </c>
      <c r="O50" s="2"/>
      <c r="P50" s="12">
        <v>150</v>
      </c>
      <c r="R50" s="2"/>
    </row>
    <row r="51" spans="1:18" x14ac:dyDescent="0.25">
      <c r="A51" t="s">
        <v>50</v>
      </c>
      <c r="B51" t="s">
        <v>21</v>
      </c>
      <c r="C51" t="s">
        <v>22</v>
      </c>
      <c r="D51" s="12">
        <v>1000</v>
      </c>
      <c r="E51" s="2"/>
      <c r="F51" s="37">
        <f t="shared" si="12"/>
        <v>0</v>
      </c>
      <c r="G51" s="2"/>
      <c r="H51" s="12">
        <f t="shared" si="13"/>
        <v>0</v>
      </c>
      <c r="I51" s="2"/>
      <c r="J51" s="12">
        <v>1000</v>
      </c>
      <c r="K51" s="2"/>
      <c r="L51" s="13">
        <f t="shared" si="14"/>
        <v>0.33333333333333331</v>
      </c>
      <c r="M51" s="2"/>
      <c r="N51" s="12">
        <f t="shared" si="15"/>
        <v>250</v>
      </c>
      <c r="O51" s="2"/>
      <c r="P51" s="12">
        <v>750</v>
      </c>
      <c r="R51" s="2"/>
    </row>
    <row r="52" spans="1:18" x14ac:dyDescent="0.25">
      <c r="A52" t="s">
        <v>50</v>
      </c>
      <c r="B52" t="s">
        <v>23</v>
      </c>
      <c r="C52" t="s">
        <v>24</v>
      </c>
      <c r="D52" s="12">
        <v>400</v>
      </c>
      <c r="E52" s="2"/>
      <c r="F52" s="37">
        <f t="shared" si="12"/>
        <v>0</v>
      </c>
      <c r="G52" s="2"/>
      <c r="H52" s="12">
        <f t="shared" si="13"/>
        <v>0</v>
      </c>
      <c r="I52" s="2"/>
      <c r="J52" s="12">
        <v>400</v>
      </c>
      <c r="K52" s="2"/>
      <c r="L52" s="13">
        <f t="shared" si="14"/>
        <v>0</v>
      </c>
      <c r="M52" s="2"/>
      <c r="N52" s="12">
        <f t="shared" si="15"/>
        <v>0</v>
      </c>
      <c r="O52" s="2"/>
      <c r="P52" s="12">
        <v>400</v>
      </c>
      <c r="R52" s="2"/>
    </row>
    <row r="53" spans="1:18" x14ac:dyDescent="0.25">
      <c r="A53" t="s">
        <v>50</v>
      </c>
      <c r="B53" t="s">
        <v>51</v>
      </c>
      <c r="C53" t="s">
        <v>52</v>
      </c>
      <c r="D53" s="12">
        <v>25000</v>
      </c>
      <c r="E53" s="2"/>
      <c r="F53" s="37">
        <f t="shared" si="12"/>
        <v>0</v>
      </c>
      <c r="G53" s="2"/>
      <c r="H53" s="12">
        <f t="shared" si="13"/>
        <v>0</v>
      </c>
      <c r="I53" s="2"/>
      <c r="J53" s="12">
        <v>25000</v>
      </c>
      <c r="K53" s="2"/>
      <c r="L53" s="13">
        <f t="shared" si="14"/>
        <v>0</v>
      </c>
      <c r="M53" s="2"/>
      <c r="N53" s="12">
        <f t="shared" si="15"/>
        <v>0</v>
      </c>
      <c r="O53" s="2"/>
      <c r="P53" s="12">
        <f>15000+10000</f>
        <v>25000</v>
      </c>
      <c r="R53" s="2"/>
    </row>
    <row r="54" spans="1:18" x14ac:dyDescent="0.25">
      <c r="D54" s="2"/>
      <c r="E54" s="2"/>
      <c r="F54" s="2"/>
      <c r="G54" s="2"/>
      <c r="H54" s="2"/>
      <c r="I54" s="2"/>
      <c r="J54" s="2"/>
      <c r="K54" s="2"/>
      <c r="M54" s="2"/>
      <c r="O54" s="2"/>
      <c r="R54" s="2"/>
    </row>
    <row r="55" spans="1:18" x14ac:dyDescent="0.25">
      <c r="A55" t="s">
        <v>5</v>
      </c>
      <c r="B55" t="s">
        <v>5</v>
      </c>
      <c r="C55" s="1" t="s">
        <v>347</v>
      </c>
      <c r="D55" s="8">
        <f>SUM(D46:D53)</f>
        <v>32527</v>
      </c>
      <c r="E55" s="2"/>
      <c r="F55" s="15">
        <f>H55/J55</f>
        <v>0</v>
      </c>
      <c r="G55" s="2"/>
      <c r="H55" s="8">
        <f>SUM(H46:H53)</f>
        <v>0</v>
      </c>
      <c r="I55" s="2"/>
      <c r="J55" s="8">
        <f>SUM(J46:J53)</f>
        <v>32527</v>
      </c>
      <c r="K55" s="2"/>
      <c r="L55" s="15">
        <f>N55/P55</f>
        <v>9.6535882791159676E-3</v>
      </c>
      <c r="M55" s="2"/>
      <c r="N55" s="8">
        <f>SUM(N46:N53)</f>
        <v>311</v>
      </c>
      <c r="O55" s="2"/>
      <c r="P55" s="8">
        <f>SUM(P46:P53)</f>
        <v>32216</v>
      </c>
      <c r="R55" s="2"/>
    </row>
    <row r="56" spans="1:18" ht="120" x14ac:dyDescent="0.25">
      <c r="A56" s="1" t="s">
        <v>0</v>
      </c>
      <c r="B56" s="1" t="s">
        <v>1</v>
      </c>
      <c r="C56" s="1" t="s">
        <v>2</v>
      </c>
      <c r="D56" s="5" t="s">
        <v>337</v>
      </c>
      <c r="E56" s="1"/>
      <c r="F56" s="5" t="s">
        <v>409</v>
      </c>
      <c r="G56" s="1"/>
      <c r="H56" s="5" t="s">
        <v>410</v>
      </c>
      <c r="I56" s="1"/>
      <c r="J56" s="5" t="s">
        <v>336</v>
      </c>
      <c r="K56" s="1"/>
      <c r="L56" s="4" t="s">
        <v>344</v>
      </c>
      <c r="M56" s="1"/>
      <c r="N56" s="4" t="s">
        <v>342</v>
      </c>
      <c r="O56" s="1"/>
      <c r="P56" s="4" t="s">
        <v>335</v>
      </c>
      <c r="R56" s="1"/>
    </row>
    <row r="57" spans="1:18" x14ac:dyDescent="0.25">
      <c r="D57" s="2"/>
      <c r="E57" s="2"/>
      <c r="F57" s="2"/>
      <c r="G57" s="2"/>
      <c r="H57" s="2"/>
      <c r="I57" s="2"/>
      <c r="J57" s="2"/>
      <c r="K57" s="2"/>
      <c r="M57" s="2"/>
      <c r="O57" s="2"/>
      <c r="R57" s="2"/>
    </row>
    <row r="58" spans="1:18" x14ac:dyDescent="0.25">
      <c r="A58" t="s">
        <v>53</v>
      </c>
      <c r="B58" t="s">
        <v>54</v>
      </c>
      <c r="C58" t="s">
        <v>55</v>
      </c>
      <c r="D58" s="12">
        <v>70000</v>
      </c>
      <c r="E58" s="2"/>
      <c r="F58" s="37">
        <f t="shared" ref="F58" si="16">H58/J58</f>
        <v>0</v>
      </c>
      <c r="G58" s="2"/>
      <c r="H58" s="12">
        <f t="shared" ref="H58" si="17">D58-J58</f>
        <v>0</v>
      </c>
      <c r="I58" s="2"/>
      <c r="J58" s="12">
        <v>70000</v>
      </c>
      <c r="K58" s="2"/>
      <c r="L58" s="13">
        <f>N58/P58</f>
        <v>0</v>
      </c>
      <c r="M58" s="2"/>
      <c r="N58" s="12">
        <f>J58-P58</f>
        <v>0</v>
      </c>
      <c r="O58" s="2"/>
      <c r="P58" s="12">
        <v>70000</v>
      </c>
      <c r="R58" s="2"/>
    </row>
    <row r="59" spans="1:18" x14ac:dyDescent="0.25">
      <c r="D59" s="2"/>
      <c r="E59" s="2"/>
      <c r="F59" s="2"/>
      <c r="G59" s="2"/>
      <c r="H59" s="2"/>
      <c r="I59" s="2"/>
      <c r="J59" s="2"/>
      <c r="K59" s="2"/>
      <c r="M59" s="2"/>
      <c r="O59" s="2"/>
      <c r="R59" s="2"/>
    </row>
    <row r="60" spans="1:18" x14ac:dyDescent="0.25">
      <c r="A60" t="s">
        <v>5</v>
      </c>
      <c r="B60" t="s">
        <v>5</v>
      </c>
      <c r="C60" s="1" t="s">
        <v>348</v>
      </c>
      <c r="D60" s="8">
        <f>SUM(D58)</f>
        <v>70000</v>
      </c>
      <c r="E60" s="2"/>
      <c r="F60" s="15">
        <f>H60/J60</f>
        <v>0</v>
      </c>
      <c r="G60" s="2"/>
      <c r="H60" s="8">
        <f>H58</f>
        <v>0</v>
      </c>
      <c r="I60" s="2"/>
      <c r="J60" s="8">
        <f>SUM(J58)</f>
        <v>70000</v>
      </c>
      <c r="K60" s="2"/>
      <c r="L60" s="15">
        <f>N60/P60</f>
        <v>0</v>
      </c>
      <c r="M60" s="2"/>
      <c r="N60" s="8">
        <f>SUM(N58)</f>
        <v>0</v>
      </c>
      <c r="O60" s="2"/>
      <c r="P60" s="8">
        <f>P58</f>
        <v>70000</v>
      </c>
      <c r="R60" s="2"/>
    </row>
    <row r="61" spans="1:18" x14ac:dyDescent="0.25">
      <c r="D61" s="2"/>
      <c r="E61" s="2"/>
      <c r="F61" s="2"/>
      <c r="G61" s="2"/>
      <c r="H61" s="2"/>
      <c r="I61" s="2"/>
      <c r="J61" s="2"/>
      <c r="K61" s="2"/>
      <c r="M61" s="2"/>
      <c r="O61" s="2"/>
      <c r="R61" s="2"/>
    </row>
    <row r="62" spans="1:18" x14ac:dyDescent="0.25">
      <c r="A62" t="s">
        <v>56</v>
      </c>
      <c r="B62" t="s">
        <v>57</v>
      </c>
      <c r="C62" t="s">
        <v>58</v>
      </c>
      <c r="D62" s="12">
        <f>ROUNDUP((64272),0)</f>
        <v>64272</v>
      </c>
      <c r="E62" s="2"/>
      <c r="F62" s="37">
        <f t="shared" ref="F62:F82" si="18">H62/J62</f>
        <v>0</v>
      </c>
      <c r="G62" s="2"/>
      <c r="H62" s="12">
        <f t="shared" ref="H62:H82" si="19">D62-J62</f>
        <v>0</v>
      </c>
      <c r="I62" s="2"/>
      <c r="J62" s="12">
        <v>64272</v>
      </c>
      <c r="K62" s="2"/>
      <c r="L62" s="13">
        <f>N62/P62</f>
        <v>0</v>
      </c>
      <c r="M62" s="2"/>
      <c r="N62" s="12">
        <f>J62-P62</f>
        <v>0</v>
      </c>
      <c r="O62" s="2"/>
      <c r="P62" s="12">
        <v>64272</v>
      </c>
      <c r="R62" s="2"/>
    </row>
    <row r="63" spans="1:18" x14ac:dyDescent="0.25">
      <c r="A63" t="s">
        <v>56</v>
      </c>
      <c r="B63" t="s">
        <v>30</v>
      </c>
      <c r="C63" t="s">
        <v>31</v>
      </c>
      <c r="D63" s="12">
        <f>ROUNDUP((51903),0)</f>
        <v>51903</v>
      </c>
      <c r="E63" s="2"/>
      <c r="F63" s="37">
        <f t="shared" si="18"/>
        <v>-3.238255033557047E-2</v>
      </c>
      <c r="G63" s="2"/>
      <c r="H63" s="12">
        <f t="shared" si="19"/>
        <v>-1737</v>
      </c>
      <c r="I63" s="2"/>
      <c r="J63" s="12">
        <f>ROUNDUP((36999.25+16640),0)</f>
        <v>53640</v>
      </c>
      <c r="K63" s="2"/>
      <c r="L63" s="13">
        <f t="shared" ref="L63:L82" si="20">N63/P63</f>
        <v>0.38193997166044052</v>
      </c>
      <c r="M63" s="2"/>
      <c r="N63" s="12">
        <f t="shared" ref="N63:N82" si="21">J63-P63</f>
        <v>14825</v>
      </c>
      <c r="O63" s="2"/>
      <c r="P63" s="12">
        <v>38815</v>
      </c>
      <c r="Q63" t="s">
        <v>357</v>
      </c>
      <c r="R63" s="2"/>
    </row>
    <row r="64" spans="1:18" x14ac:dyDescent="0.25">
      <c r="A64" t="s">
        <v>56</v>
      </c>
      <c r="B64" t="s">
        <v>59</v>
      </c>
      <c r="C64" t="s">
        <v>60</v>
      </c>
      <c r="D64" s="12">
        <f>ROUNDUP((10000),0)</f>
        <v>10000</v>
      </c>
      <c r="E64" s="2"/>
      <c r="F64" s="37">
        <f t="shared" si="18"/>
        <v>0</v>
      </c>
      <c r="G64" s="2"/>
      <c r="H64" s="12">
        <f t="shared" si="19"/>
        <v>0</v>
      </c>
      <c r="I64" s="2"/>
      <c r="J64" s="12">
        <v>10000</v>
      </c>
      <c r="K64" s="2"/>
      <c r="L64" s="13">
        <f t="shared" si="20"/>
        <v>0.25</v>
      </c>
      <c r="M64" s="2"/>
      <c r="N64" s="12">
        <f t="shared" si="21"/>
        <v>2000</v>
      </c>
      <c r="O64" s="2"/>
      <c r="P64" s="12">
        <v>8000</v>
      </c>
      <c r="R64" s="2"/>
    </row>
    <row r="65" spans="1:18" x14ac:dyDescent="0.25">
      <c r="A65" t="s">
        <v>56</v>
      </c>
      <c r="B65" t="s">
        <v>61</v>
      </c>
      <c r="C65" t="s">
        <v>62</v>
      </c>
      <c r="D65" s="12">
        <f>ROUNDUP((2600),0)</f>
        <v>2600</v>
      </c>
      <c r="E65" s="2"/>
      <c r="F65" s="37">
        <f t="shared" si="18"/>
        <v>0</v>
      </c>
      <c r="G65" s="2"/>
      <c r="H65" s="12">
        <f t="shared" si="19"/>
        <v>0</v>
      </c>
      <c r="I65" s="2"/>
      <c r="J65" s="12">
        <v>2600</v>
      </c>
      <c r="K65" s="2"/>
      <c r="L65" s="13">
        <f t="shared" si="20"/>
        <v>0</v>
      </c>
      <c r="M65" s="2"/>
      <c r="N65" s="12">
        <f t="shared" si="21"/>
        <v>0</v>
      </c>
      <c r="O65" s="2"/>
      <c r="P65" s="12">
        <v>2600</v>
      </c>
      <c r="R65" s="2"/>
    </row>
    <row r="66" spans="1:18" x14ac:dyDescent="0.25">
      <c r="A66" t="s">
        <v>56</v>
      </c>
      <c r="B66" t="s">
        <v>34</v>
      </c>
      <c r="C66" t="s">
        <v>35</v>
      </c>
      <c r="D66" s="12">
        <f>ROUNDUP((238.14),0)</f>
        <v>239</v>
      </c>
      <c r="E66" s="2"/>
      <c r="F66" s="37">
        <f t="shared" si="18"/>
        <v>0</v>
      </c>
      <c r="G66" s="2"/>
      <c r="H66" s="12">
        <f t="shared" si="19"/>
        <v>0</v>
      </c>
      <c r="I66" s="2"/>
      <c r="J66" s="12">
        <f>ROUNDUP((238.14),0)</f>
        <v>239</v>
      </c>
      <c r="K66" s="2"/>
      <c r="L66" s="13">
        <f t="shared" si="20"/>
        <v>0.28494623655913981</v>
      </c>
      <c r="M66" s="2"/>
      <c r="N66" s="12">
        <f t="shared" si="21"/>
        <v>53</v>
      </c>
      <c r="O66" s="2"/>
      <c r="P66" s="12">
        <v>186</v>
      </c>
      <c r="R66" s="2"/>
    </row>
    <row r="67" spans="1:18" x14ac:dyDescent="0.25">
      <c r="A67" t="s">
        <v>56</v>
      </c>
      <c r="B67" t="s">
        <v>9</v>
      </c>
      <c r="C67" t="s">
        <v>10</v>
      </c>
      <c r="D67" s="12">
        <f>ROUNDUP((602.45),0)</f>
        <v>603</v>
      </c>
      <c r="E67" s="2"/>
      <c r="F67" s="37">
        <f t="shared" si="18"/>
        <v>-1.3093289689034371E-2</v>
      </c>
      <c r="G67" s="2"/>
      <c r="H67" s="12">
        <f t="shared" si="19"/>
        <v>-8</v>
      </c>
      <c r="I67" s="2"/>
      <c r="J67" s="12">
        <f>ROUNDUP((610.57),0)</f>
        <v>611</v>
      </c>
      <c r="K67" s="2"/>
      <c r="L67" s="13">
        <f t="shared" si="20"/>
        <v>0.86280487804878048</v>
      </c>
      <c r="M67" s="2"/>
      <c r="N67" s="12">
        <f t="shared" si="21"/>
        <v>283</v>
      </c>
      <c r="O67" s="2"/>
      <c r="P67" s="12">
        <v>328</v>
      </c>
      <c r="R67" s="2"/>
    </row>
    <row r="68" spans="1:18" x14ac:dyDescent="0.25">
      <c r="A68" t="s">
        <v>56</v>
      </c>
      <c r="B68" t="s">
        <v>36</v>
      </c>
      <c r="C68" t="s">
        <v>37</v>
      </c>
      <c r="D68" s="12">
        <f>ROUNDUP((10329.67),0)</f>
        <v>10330</v>
      </c>
      <c r="E68" s="2"/>
      <c r="F68" s="37">
        <f t="shared" si="18"/>
        <v>0</v>
      </c>
      <c r="G68" s="2"/>
      <c r="H68" s="12">
        <f t="shared" si="19"/>
        <v>0</v>
      </c>
      <c r="I68" s="2"/>
      <c r="J68" s="12">
        <f>ROUNDUP((10329.67),0)</f>
        <v>10330</v>
      </c>
      <c r="K68" s="2"/>
      <c r="L68" s="13">
        <f t="shared" si="20"/>
        <v>1.0763209393346379E-2</v>
      </c>
      <c r="M68" s="2"/>
      <c r="N68" s="12">
        <f t="shared" si="21"/>
        <v>110</v>
      </c>
      <c r="O68" s="2"/>
      <c r="P68" s="12">
        <v>10220</v>
      </c>
      <c r="R68" s="2"/>
    </row>
    <row r="69" spans="1:18" x14ac:dyDescent="0.25">
      <c r="A69" t="s">
        <v>56</v>
      </c>
      <c r="B69" t="s">
        <v>38</v>
      </c>
      <c r="C69" t="s">
        <v>39</v>
      </c>
      <c r="D69" s="12">
        <f>ROUNDUP((14985.12),0)</f>
        <v>14986</v>
      </c>
      <c r="E69" s="2"/>
      <c r="F69" s="37">
        <f t="shared" si="18"/>
        <v>0</v>
      </c>
      <c r="G69" s="2"/>
      <c r="H69" s="12">
        <f t="shared" si="19"/>
        <v>0</v>
      </c>
      <c r="I69" s="2"/>
      <c r="J69" s="12">
        <f>ROUNDUP((14985.12),0)</f>
        <v>14986</v>
      </c>
      <c r="K69" s="2"/>
      <c r="L69" s="13">
        <f t="shared" si="20"/>
        <v>-0.57863067622662734</v>
      </c>
      <c r="M69" s="2"/>
      <c r="N69" s="12">
        <f t="shared" si="21"/>
        <v>-20579</v>
      </c>
      <c r="O69" s="2"/>
      <c r="P69" s="12">
        <v>35565</v>
      </c>
      <c r="R69" s="2"/>
    </row>
    <row r="70" spans="1:18" x14ac:dyDescent="0.25">
      <c r="A70" t="s">
        <v>56</v>
      </c>
      <c r="B70" t="s">
        <v>11</v>
      </c>
      <c r="C70" t="s">
        <v>12</v>
      </c>
      <c r="D70" s="12">
        <f>ROUNDUP((9851.25),0)</f>
        <v>9852</v>
      </c>
      <c r="E70" s="2"/>
      <c r="F70" s="37">
        <f t="shared" si="18"/>
        <v>-1.3319979969954933E-2</v>
      </c>
      <c r="G70" s="2"/>
      <c r="H70" s="12">
        <f t="shared" si="19"/>
        <v>-133</v>
      </c>
      <c r="I70" s="2"/>
      <c r="J70" s="12">
        <f>ROUNDUP((9984.11),0)</f>
        <v>9985</v>
      </c>
      <c r="K70" s="2"/>
      <c r="L70" s="13">
        <f t="shared" si="20"/>
        <v>0.1480970449580315</v>
      </c>
      <c r="M70" s="2"/>
      <c r="N70" s="12">
        <f t="shared" si="21"/>
        <v>1288</v>
      </c>
      <c r="O70" s="2"/>
      <c r="P70" s="12">
        <v>8697</v>
      </c>
      <c r="R70" s="2"/>
    </row>
    <row r="71" spans="1:18" x14ac:dyDescent="0.25">
      <c r="A71" t="s">
        <v>56</v>
      </c>
      <c r="B71" t="s">
        <v>13</v>
      </c>
      <c r="C71" t="s">
        <v>14</v>
      </c>
      <c r="D71" s="12">
        <v>5300</v>
      </c>
      <c r="E71" s="2"/>
      <c r="F71" s="37">
        <f t="shared" si="18"/>
        <v>0</v>
      </c>
      <c r="G71" s="2"/>
      <c r="H71" s="12">
        <f t="shared" si="19"/>
        <v>0</v>
      </c>
      <c r="I71" s="2"/>
      <c r="J71" s="12">
        <v>5300</v>
      </c>
      <c r="K71" s="2"/>
      <c r="L71" s="13">
        <f t="shared" si="20"/>
        <v>1.65</v>
      </c>
      <c r="M71" s="2"/>
      <c r="N71" s="12">
        <f t="shared" si="21"/>
        <v>3300</v>
      </c>
      <c r="O71" s="2"/>
      <c r="P71" s="12">
        <v>2000</v>
      </c>
      <c r="R71" s="2"/>
    </row>
    <row r="72" spans="1:18" x14ac:dyDescent="0.25">
      <c r="A72" t="s">
        <v>56</v>
      </c>
      <c r="B72" t="s">
        <v>19</v>
      </c>
      <c r="C72" t="s">
        <v>20</v>
      </c>
      <c r="D72" s="12">
        <v>4200</v>
      </c>
      <c r="E72" s="2"/>
      <c r="F72" s="37">
        <f t="shared" si="18"/>
        <v>0</v>
      </c>
      <c r="G72" s="2"/>
      <c r="H72" s="12">
        <f t="shared" si="19"/>
        <v>0</v>
      </c>
      <c r="I72" s="2"/>
      <c r="J72" s="12">
        <v>4200</v>
      </c>
      <c r="K72" s="2"/>
      <c r="L72" s="13">
        <f t="shared" si="20"/>
        <v>1.625</v>
      </c>
      <c r="M72" s="2"/>
      <c r="N72" s="12">
        <f t="shared" si="21"/>
        <v>2600</v>
      </c>
      <c r="O72" s="2"/>
      <c r="P72" s="12">
        <v>1600</v>
      </c>
      <c r="R72" s="2"/>
    </row>
    <row r="73" spans="1:18" x14ac:dyDescent="0.25">
      <c r="A73" t="s">
        <v>56</v>
      </c>
      <c r="B73" t="s">
        <v>21</v>
      </c>
      <c r="C73" t="s">
        <v>22</v>
      </c>
      <c r="D73" s="12">
        <v>1800</v>
      </c>
      <c r="E73" s="2"/>
      <c r="F73" s="37">
        <f t="shared" si="18"/>
        <v>0</v>
      </c>
      <c r="G73" s="2"/>
      <c r="H73" s="12">
        <f t="shared" si="19"/>
        <v>0</v>
      </c>
      <c r="I73" s="2"/>
      <c r="J73" s="12">
        <f>1000+800</f>
        <v>1800</v>
      </c>
      <c r="K73" s="2"/>
      <c r="L73" s="13">
        <f t="shared" si="20"/>
        <v>1.25</v>
      </c>
      <c r="M73" s="2"/>
      <c r="N73" s="12">
        <f t="shared" si="21"/>
        <v>1000</v>
      </c>
      <c r="O73" s="2"/>
      <c r="P73" s="12">
        <v>800</v>
      </c>
      <c r="R73" s="2"/>
    </row>
    <row r="74" spans="1:18" x14ac:dyDescent="0.25">
      <c r="A74" t="s">
        <v>56</v>
      </c>
      <c r="B74" t="s">
        <v>63</v>
      </c>
      <c r="C74" t="s">
        <v>64</v>
      </c>
      <c r="D74" s="12">
        <v>5200</v>
      </c>
      <c r="E74" s="2"/>
      <c r="F74" s="37">
        <f t="shared" si="18"/>
        <v>0</v>
      </c>
      <c r="G74" s="2"/>
      <c r="H74" s="12">
        <f t="shared" si="19"/>
        <v>0</v>
      </c>
      <c r="I74" s="2"/>
      <c r="J74" s="12">
        <v>5200</v>
      </c>
      <c r="K74" s="2"/>
      <c r="L74" s="13">
        <f t="shared" si="20"/>
        <v>0.92592592592592593</v>
      </c>
      <c r="M74" s="2"/>
      <c r="N74" s="12">
        <f t="shared" si="21"/>
        <v>2500</v>
      </c>
      <c r="O74" s="2"/>
      <c r="P74" s="12">
        <v>2700</v>
      </c>
      <c r="R74" s="2"/>
    </row>
    <row r="75" spans="1:18" x14ac:dyDescent="0.25">
      <c r="A75" t="s">
        <v>56</v>
      </c>
      <c r="B75" t="s">
        <v>40</v>
      </c>
      <c r="C75" t="s">
        <v>41</v>
      </c>
      <c r="D75" s="12">
        <v>420</v>
      </c>
      <c r="E75" s="2"/>
      <c r="F75" s="37">
        <f t="shared" si="18"/>
        <v>0</v>
      </c>
      <c r="G75" s="2"/>
      <c r="H75" s="12">
        <f t="shared" si="19"/>
        <v>0</v>
      </c>
      <c r="I75" s="2"/>
      <c r="J75" s="12">
        <v>420</v>
      </c>
      <c r="K75" s="2"/>
      <c r="L75" s="13">
        <f t="shared" si="20"/>
        <v>0</v>
      </c>
      <c r="M75" s="2"/>
      <c r="N75" s="12">
        <f t="shared" si="21"/>
        <v>0</v>
      </c>
      <c r="O75" s="2"/>
      <c r="P75" s="12">
        <v>420</v>
      </c>
      <c r="R75" s="2"/>
    </row>
    <row r="76" spans="1:18" x14ac:dyDescent="0.25">
      <c r="A76" t="s">
        <v>56</v>
      </c>
      <c r="B76" t="s">
        <v>23</v>
      </c>
      <c r="C76" t="s">
        <v>24</v>
      </c>
      <c r="D76" s="12">
        <v>2000</v>
      </c>
      <c r="E76" s="2"/>
      <c r="F76" s="37">
        <f t="shared" si="18"/>
        <v>0</v>
      </c>
      <c r="G76" s="2"/>
      <c r="H76" s="12">
        <f t="shared" si="19"/>
        <v>0</v>
      </c>
      <c r="I76" s="2"/>
      <c r="J76" s="12">
        <v>2000</v>
      </c>
      <c r="K76" s="2"/>
      <c r="L76" s="13">
        <f t="shared" si="20"/>
        <v>0.1111111111111111</v>
      </c>
      <c r="M76" s="2"/>
      <c r="N76" s="12">
        <f t="shared" si="21"/>
        <v>200</v>
      </c>
      <c r="O76" s="2"/>
      <c r="P76" s="12">
        <v>1800</v>
      </c>
      <c r="R76" s="2"/>
    </row>
    <row r="77" spans="1:18" x14ac:dyDescent="0.25">
      <c r="A77" t="s">
        <v>56</v>
      </c>
      <c r="B77" t="s">
        <v>42</v>
      </c>
      <c r="C77" t="s">
        <v>43</v>
      </c>
      <c r="D77" s="12">
        <v>400</v>
      </c>
      <c r="E77" s="2"/>
      <c r="F77" s="37">
        <f t="shared" si="18"/>
        <v>0</v>
      </c>
      <c r="G77" s="2"/>
      <c r="H77" s="12">
        <f t="shared" si="19"/>
        <v>0</v>
      </c>
      <c r="I77" s="2"/>
      <c r="J77" s="12">
        <v>400</v>
      </c>
      <c r="K77" s="2"/>
      <c r="L77" s="13">
        <f t="shared" si="20"/>
        <v>0</v>
      </c>
      <c r="M77" s="2"/>
      <c r="N77" s="12">
        <f t="shared" si="21"/>
        <v>0</v>
      </c>
      <c r="O77" s="2"/>
      <c r="P77" s="12">
        <v>400</v>
      </c>
      <c r="R77" s="2"/>
    </row>
    <row r="78" spans="1:18" x14ac:dyDescent="0.25">
      <c r="A78" t="s">
        <v>56</v>
      </c>
      <c r="B78" t="s">
        <v>65</v>
      </c>
      <c r="C78" t="s">
        <v>66</v>
      </c>
      <c r="D78" s="12">
        <v>1010</v>
      </c>
      <c r="E78" s="2"/>
      <c r="F78" s="37">
        <f t="shared" si="18"/>
        <v>0</v>
      </c>
      <c r="G78" s="2"/>
      <c r="H78" s="12">
        <f t="shared" si="19"/>
        <v>0</v>
      </c>
      <c r="I78" s="2"/>
      <c r="J78" s="12">
        <v>1010</v>
      </c>
      <c r="K78" s="2"/>
      <c r="L78" s="13">
        <f t="shared" si="20"/>
        <v>0</v>
      </c>
      <c r="M78" s="2"/>
      <c r="N78" s="12">
        <f t="shared" si="21"/>
        <v>0</v>
      </c>
      <c r="O78" s="2"/>
      <c r="P78" s="12">
        <v>1010</v>
      </c>
      <c r="R78" s="2"/>
    </row>
    <row r="79" spans="1:18" x14ac:dyDescent="0.25">
      <c r="A79" t="s">
        <v>56</v>
      </c>
      <c r="B79" t="s">
        <v>44</v>
      </c>
      <c r="C79" t="s">
        <v>45</v>
      </c>
      <c r="D79" s="12">
        <v>450</v>
      </c>
      <c r="E79" s="2"/>
      <c r="F79" s="37">
        <f t="shared" si="18"/>
        <v>0</v>
      </c>
      <c r="G79" s="2"/>
      <c r="H79" s="12">
        <f t="shared" si="19"/>
        <v>0</v>
      </c>
      <c r="I79" s="2"/>
      <c r="J79" s="12">
        <v>450</v>
      </c>
      <c r="K79" s="2"/>
      <c r="L79" s="13">
        <f t="shared" si="20"/>
        <v>0</v>
      </c>
      <c r="M79" s="2"/>
      <c r="N79" s="12">
        <f t="shared" si="21"/>
        <v>0</v>
      </c>
      <c r="O79" s="2"/>
      <c r="P79" s="12">
        <v>450</v>
      </c>
      <c r="R79" s="2"/>
    </row>
    <row r="80" spans="1:18" x14ac:dyDescent="0.25">
      <c r="A80" t="s">
        <v>56</v>
      </c>
      <c r="B80" t="s">
        <v>51</v>
      </c>
      <c r="C80" t="s">
        <v>52</v>
      </c>
      <c r="D80" s="12">
        <v>2260</v>
      </c>
      <c r="E80" s="2"/>
      <c r="F80" s="37">
        <f t="shared" si="18"/>
        <v>0</v>
      </c>
      <c r="G80" s="2"/>
      <c r="H80" s="12">
        <f t="shared" si="19"/>
        <v>0</v>
      </c>
      <c r="I80" s="2"/>
      <c r="J80" s="12">
        <v>2260</v>
      </c>
      <c r="K80" s="2"/>
      <c r="L80" s="13">
        <f t="shared" si="20"/>
        <v>0.79365079365079361</v>
      </c>
      <c r="M80" s="2"/>
      <c r="N80" s="12">
        <f t="shared" si="21"/>
        <v>1000</v>
      </c>
      <c r="O80" s="2"/>
      <c r="P80" s="12">
        <v>1260</v>
      </c>
      <c r="R80" s="2"/>
    </row>
    <row r="81" spans="1:18" x14ac:dyDescent="0.25">
      <c r="A81" t="s">
        <v>56</v>
      </c>
      <c r="B81" t="s">
        <v>67</v>
      </c>
      <c r="C81" t="s">
        <v>68</v>
      </c>
      <c r="D81" s="12">
        <v>10450</v>
      </c>
      <c r="E81" s="2"/>
      <c r="F81" s="37">
        <f t="shared" si="18"/>
        <v>0</v>
      </c>
      <c r="G81" s="2"/>
      <c r="H81" s="12">
        <f t="shared" si="19"/>
        <v>0</v>
      </c>
      <c r="I81" s="2"/>
      <c r="J81" s="12">
        <v>10450</v>
      </c>
      <c r="K81" s="2"/>
      <c r="L81" s="13">
        <f t="shared" si="20"/>
        <v>0</v>
      </c>
      <c r="M81" s="2"/>
      <c r="N81" s="12">
        <f t="shared" si="21"/>
        <v>0</v>
      </c>
      <c r="O81" s="2"/>
      <c r="P81" s="12">
        <v>10450</v>
      </c>
      <c r="R81" s="2"/>
    </row>
    <row r="82" spans="1:18" x14ac:dyDescent="0.25">
      <c r="A82" t="s">
        <v>56</v>
      </c>
      <c r="B82" t="s">
        <v>69</v>
      </c>
      <c r="C82" t="s">
        <v>70</v>
      </c>
      <c r="D82" s="12">
        <v>2800</v>
      </c>
      <c r="E82" s="2"/>
      <c r="F82" s="37">
        <f t="shared" si="18"/>
        <v>0</v>
      </c>
      <c r="G82" s="2"/>
      <c r="H82" s="12">
        <f t="shared" si="19"/>
        <v>0</v>
      </c>
      <c r="I82" s="2"/>
      <c r="J82" s="12">
        <v>2800</v>
      </c>
      <c r="K82" s="2"/>
      <c r="L82" s="13">
        <f t="shared" si="20"/>
        <v>0</v>
      </c>
      <c r="M82" s="2"/>
      <c r="N82" s="12">
        <f t="shared" si="21"/>
        <v>0</v>
      </c>
      <c r="O82" s="2"/>
      <c r="P82" s="12">
        <v>2800</v>
      </c>
      <c r="R82" s="2"/>
    </row>
    <row r="83" spans="1:18" x14ac:dyDescent="0.25">
      <c r="D83" s="2"/>
      <c r="E83" s="2"/>
      <c r="F83" s="2"/>
      <c r="G83" s="2"/>
      <c r="H83" s="2"/>
      <c r="I83" s="2"/>
      <c r="J83" s="2"/>
      <c r="K83" s="2"/>
      <c r="M83" s="2"/>
      <c r="O83" s="2"/>
      <c r="R83" s="2"/>
    </row>
    <row r="84" spans="1:18" x14ac:dyDescent="0.25">
      <c r="A84" t="s">
        <v>5</v>
      </c>
      <c r="B84" t="s">
        <v>5</v>
      </c>
      <c r="C84" s="1" t="s">
        <v>349</v>
      </c>
      <c r="D84" s="8">
        <f>SUM(D62:D82)</f>
        <v>201075</v>
      </c>
      <c r="E84" s="2"/>
      <c r="F84" s="15">
        <f>H84/J84</f>
        <v>-9.2533739338664621E-3</v>
      </c>
      <c r="G84" s="2"/>
      <c r="H84" s="8">
        <f>SUM(H62:H82)</f>
        <v>-1878</v>
      </c>
      <c r="I84" s="2"/>
      <c r="J84" s="8">
        <f>SUM(J62:J82)</f>
        <v>202953</v>
      </c>
      <c r="K84" s="2"/>
      <c r="L84" s="15">
        <f>N84/P84</f>
        <v>4.4141933293204302E-2</v>
      </c>
      <c r="M84" s="2"/>
      <c r="N84" s="8">
        <f>SUM(N62:N82)</f>
        <v>8580</v>
      </c>
      <c r="O84" s="2"/>
      <c r="P84" s="8">
        <f>SUM(P62:P82)</f>
        <v>194373</v>
      </c>
      <c r="R84" s="2"/>
    </row>
    <row r="85" spans="1:18" x14ac:dyDescent="0.25">
      <c r="D85" s="2"/>
      <c r="E85" s="2"/>
      <c r="F85" s="2"/>
      <c r="G85" s="2"/>
      <c r="H85" s="2"/>
      <c r="I85" s="2"/>
      <c r="J85" s="2"/>
      <c r="K85" s="2"/>
      <c r="M85" s="2"/>
      <c r="O85" s="2"/>
      <c r="R85" s="2"/>
    </row>
    <row r="86" spans="1:18" x14ac:dyDescent="0.25">
      <c r="A86" t="s">
        <v>73</v>
      </c>
      <c r="B86" t="s">
        <v>57</v>
      </c>
      <c r="C86" t="s">
        <v>58</v>
      </c>
      <c r="D86" s="12">
        <f>ROUNDUP((90280.74),0)</f>
        <v>90281</v>
      </c>
      <c r="E86" s="2"/>
      <c r="F86" s="37">
        <f t="shared" ref="F86:F100" si="22">H86/J86</f>
        <v>0</v>
      </c>
      <c r="G86" s="2"/>
      <c r="H86" s="12">
        <f t="shared" ref="H86:H100" si="23">D86-J86</f>
        <v>0</v>
      </c>
      <c r="I86" s="2"/>
      <c r="J86" s="12">
        <f>ROUNDUP((90280.74),0)</f>
        <v>90281</v>
      </c>
      <c r="K86" s="2"/>
      <c r="L86" s="13">
        <f t="shared" ref="L86:L100" si="24">N86/P86</f>
        <v>3.0064121579992241E-2</v>
      </c>
      <c r="M86" s="2"/>
      <c r="N86" s="12">
        <f t="shared" ref="N86:N100" si="25">J86-P86</f>
        <v>2635</v>
      </c>
      <c r="O86" s="2"/>
      <c r="P86" s="12">
        <v>87646</v>
      </c>
      <c r="Q86" t="s">
        <v>355</v>
      </c>
      <c r="R86" s="2"/>
    </row>
    <row r="87" spans="1:18" x14ac:dyDescent="0.25">
      <c r="A87" t="s">
        <v>73</v>
      </c>
      <c r="B87" t="s">
        <v>30</v>
      </c>
      <c r="C87" t="s">
        <v>31</v>
      </c>
      <c r="D87" s="12">
        <f>ROUNDUP((94163.58),0)</f>
        <v>94164</v>
      </c>
      <c r="E87" s="2"/>
      <c r="F87" s="37">
        <f t="shared" si="22"/>
        <v>8.0841588136040685E-2</v>
      </c>
      <c r="G87" s="2"/>
      <c r="H87" s="12">
        <f t="shared" si="23"/>
        <v>7043</v>
      </c>
      <c r="I87" s="2"/>
      <c r="J87" s="12">
        <f>ROUNDUP((34160.57+52960.13),0)</f>
        <v>87121</v>
      </c>
      <c r="K87" s="2"/>
      <c r="L87" s="13">
        <f t="shared" si="24"/>
        <v>3.2373887591984736E-2</v>
      </c>
      <c r="M87" s="2"/>
      <c r="N87" s="12">
        <f t="shared" si="25"/>
        <v>2732</v>
      </c>
      <c r="O87" s="2"/>
      <c r="P87" s="12">
        <v>84389</v>
      </c>
      <c r="Q87" t="s">
        <v>424</v>
      </c>
      <c r="R87" s="2"/>
    </row>
    <row r="88" spans="1:18" x14ac:dyDescent="0.25">
      <c r="A88" t="s">
        <v>73</v>
      </c>
      <c r="B88" t="s">
        <v>61</v>
      </c>
      <c r="C88" t="s">
        <v>62</v>
      </c>
      <c r="D88" s="12">
        <v>1500</v>
      </c>
      <c r="E88" s="2"/>
      <c r="F88" s="37">
        <f t="shared" si="22"/>
        <v>0</v>
      </c>
      <c r="G88" s="2"/>
      <c r="H88" s="12">
        <f t="shared" si="23"/>
        <v>0</v>
      </c>
      <c r="I88" s="2"/>
      <c r="J88" s="12">
        <v>1500</v>
      </c>
      <c r="K88" s="2"/>
      <c r="L88" s="13">
        <f t="shared" si="24"/>
        <v>2</v>
      </c>
      <c r="M88" s="2"/>
      <c r="N88" s="12">
        <f t="shared" si="25"/>
        <v>1000</v>
      </c>
      <c r="O88" s="2"/>
      <c r="P88" s="12">
        <v>500</v>
      </c>
      <c r="R88" s="2"/>
    </row>
    <row r="89" spans="1:18" x14ac:dyDescent="0.25">
      <c r="A89" t="s">
        <v>73</v>
      </c>
      <c r="B89" t="s">
        <v>34</v>
      </c>
      <c r="C89" t="s">
        <v>35</v>
      </c>
      <c r="D89" s="12">
        <f>ROUNDUP((176.4),0)</f>
        <v>177</v>
      </c>
      <c r="E89" s="2"/>
      <c r="F89" s="37">
        <f t="shared" si="22"/>
        <v>0</v>
      </c>
      <c r="G89" s="2"/>
      <c r="H89" s="12">
        <f t="shared" si="23"/>
        <v>0</v>
      </c>
      <c r="I89" s="2"/>
      <c r="J89" s="12">
        <f>ROUNDUP((176.4),0)</f>
        <v>177</v>
      </c>
      <c r="K89" s="2"/>
      <c r="L89" s="13">
        <f t="shared" si="24"/>
        <v>-0.20982142857142858</v>
      </c>
      <c r="M89" s="2"/>
      <c r="N89" s="12">
        <f t="shared" si="25"/>
        <v>-47</v>
      </c>
      <c r="O89" s="2"/>
      <c r="P89" s="12">
        <v>224</v>
      </c>
      <c r="R89" s="2"/>
    </row>
    <row r="90" spans="1:18" x14ac:dyDescent="0.25">
      <c r="A90" t="s">
        <v>73</v>
      </c>
      <c r="B90" t="s">
        <v>9</v>
      </c>
      <c r="C90" t="s">
        <v>10</v>
      </c>
      <c r="D90" s="12">
        <f>ROUNDUP((869.89),0)</f>
        <v>870</v>
      </c>
      <c r="E90" s="2"/>
      <c r="F90" s="37">
        <f t="shared" si="22"/>
        <v>3.9426523297491037E-2</v>
      </c>
      <c r="G90" s="2"/>
      <c r="H90" s="12">
        <f t="shared" si="23"/>
        <v>33</v>
      </c>
      <c r="I90" s="2"/>
      <c r="J90" s="12">
        <f>ROUNDUP((836.96),0)</f>
        <v>837</v>
      </c>
      <c r="K90" s="2"/>
      <c r="L90" s="13">
        <f t="shared" si="24"/>
        <v>0.95560747663551404</v>
      </c>
      <c r="M90" s="2"/>
      <c r="N90" s="12">
        <f t="shared" si="25"/>
        <v>409</v>
      </c>
      <c r="O90" s="2"/>
      <c r="P90" s="12">
        <v>428</v>
      </c>
      <c r="R90" s="2"/>
    </row>
    <row r="91" spans="1:18" x14ac:dyDescent="0.25">
      <c r="A91" t="s">
        <v>73</v>
      </c>
      <c r="B91" t="s">
        <v>36</v>
      </c>
      <c r="C91" t="s">
        <v>37</v>
      </c>
      <c r="D91" s="12">
        <f>ROUNDUP((18813.01),0)</f>
        <v>18814</v>
      </c>
      <c r="E91" s="2"/>
      <c r="F91" s="37">
        <f t="shared" si="22"/>
        <v>3.9734733351754627E-2</v>
      </c>
      <c r="G91" s="2"/>
      <c r="H91" s="12">
        <f t="shared" si="23"/>
        <v>719</v>
      </c>
      <c r="I91" s="2"/>
      <c r="J91" s="12">
        <f>ROUNDUP((18094.95),0)</f>
        <v>18095</v>
      </c>
      <c r="K91" s="2"/>
      <c r="L91" s="13">
        <f t="shared" si="24"/>
        <v>3.1171643492135855E-2</v>
      </c>
      <c r="M91" s="2"/>
      <c r="N91" s="12">
        <f t="shared" si="25"/>
        <v>547</v>
      </c>
      <c r="O91" s="2"/>
      <c r="P91" s="12">
        <v>17548</v>
      </c>
      <c r="R91" s="2"/>
    </row>
    <row r="92" spans="1:18" x14ac:dyDescent="0.25">
      <c r="A92" t="s">
        <v>73</v>
      </c>
      <c r="B92" t="s">
        <v>38</v>
      </c>
      <c r="C92" t="s">
        <v>39</v>
      </c>
      <c r="D92" s="12">
        <f>ROUNDUP((51582.68),0)</f>
        <v>51583</v>
      </c>
      <c r="E92" s="2"/>
      <c r="F92" s="37">
        <f t="shared" si="22"/>
        <v>0</v>
      </c>
      <c r="G92" s="2"/>
      <c r="H92" s="12">
        <f t="shared" si="23"/>
        <v>0</v>
      </c>
      <c r="I92" s="2"/>
      <c r="J92" s="12">
        <f>ROUNDUP((51582.68),0)</f>
        <v>51583</v>
      </c>
      <c r="K92" s="2"/>
      <c r="L92" s="13">
        <f t="shared" si="24"/>
        <v>0.10586343659556223</v>
      </c>
      <c r="M92" s="2"/>
      <c r="N92" s="12">
        <f t="shared" si="25"/>
        <v>4938</v>
      </c>
      <c r="O92" s="2"/>
      <c r="P92" s="12">
        <v>46645</v>
      </c>
      <c r="R92" s="2"/>
    </row>
    <row r="93" spans="1:18" x14ac:dyDescent="0.25">
      <c r="A93" t="s">
        <v>73</v>
      </c>
      <c r="B93" t="s">
        <v>11</v>
      </c>
      <c r="C93" t="s">
        <v>12</v>
      </c>
      <c r="D93" s="12">
        <f>ROUNDUP((14224.51),0)</f>
        <v>14225</v>
      </c>
      <c r="E93" s="2"/>
      <c r="F93" s="37">
        <f t="shared" si="22"/>
        <v>3.9383311413122901E-2</v>
      </c>
      <c r="G93" s="2"/>
      <c r="H93" s="12">
        <f t="shared" si="23"/>
        <v>539</v>
      </c>
      <c r="I93" s="2"/>
      <c r="J93" s="12">
        <f>ROUNDUP((13685.96),0)</f>
        <v>13686</v>
      </c>
      <c r="K93" s="2"/>
      <c r="L93" s="13">
        <f t="shared" si="24"/>
        <v>3.6896734601106145E-2</v>
      </c>
      <c r="M93" s="2"/>
      <c r="N93" s="12">
        <f t="shared" si="25"/>
        <v>487</v>
      </c>
      <c r="O93" s="2"/>
      <c r="P93" s="12">
        <v>13199</v>
      </c>
      <c r="R93" s="2"/>
    </row>
    <row r="94" spans="1:18" x14ac:dyDescent="0.25">
      <c r="A94" t="s">
        <v>73</v>
      </c>
      <c r="B94" t="s">
        <v>13</v>
      </c>
      <c r="C94" t="s">
        <v>14</v>
      </c>
      <c r="D94" s="12">
        <v>3000</v>
      </c>
      <c r="E94" s="2"/>
      <c r="F94" s="37">
        <f t="shared" si="22"/>
        <v>0</v>
      </c>
      <c r="G94" s="2"/>
      <c r="H94" s="12">
        <f t="shared" si="23"/>
        <v>0</v>
      </c>
      <c r="I94" s="2"/>
      <c r="J94" s="12">
        <v>3000</v>
      </c>
      <c r="K94" s="2"/>
      <c r="L94" s="13">
        <f t="shared" si="24"/>
        <v>0</v>
      </c>
      <c r="M94" s="2"/>
      <c r="N94" s="12">
        <f t="shared" si="25"/>
        <v>0</v>
      </c>
      <c r="O94" s="2"/>
      <c r="P94" s="12">
        <v>3000</v>
      </c>
      <c r="R94" s="2"/>
    </row>
    <row r="95" spans="1:18" x14ac:dyDescent="0.25">
      <c r="A95" t="s">
        <v>73</v>
      </c>
      <c r="B95" t="s">
        <v>19</v>
      </c>
      <c r="C95" t="s">
        <v>20</v>
      </c>
      <c r="D95" s="12">
        <v>1000</v>
      </c>
      <c r="E95" s="2"/>
      <c r="F95" s="37">
        <f t="shared" si="22"/>
        <v>0</v>
      </c>
      <c r="G95" s="2"/>
      <c r="H95" s="12">
        <f t="shared" si="23"/>
        <v>0</v>
      </c>
      <c r="I95" s="2"/>
      <c r="J95" s="12">
        <v>1000</v>
      </c>
      <c r="K95" s="2"/>
      <c r="L95" s="13">
        <f t="shared" si="24"/>
        <v>0.25</v>
      </c>
      <c r="M95" s="2"/>
      <c r="N95" s="12">
        <f t="shared" si="25"/>
        <v>200</v>
      </c>
      <c r="O95" s="2"/>
      <c r="P95" s="12">
        <v>800</v>
      </c>
      <c r="R95" s="2"/>
    </row>
    <row r="96" spans="1:18" x14ac:dyDescent="0.25">
      <c r="A96" t="s">
        <v>73</v>
      </c>
      <c r="B96" t="s">
        <v>40</v>
      </c>
      <c r="C96" t="s">
        <v>41</v>
      </c>
      <c r="D96" s="12">
        <v>420</v>
      </c>
      <c r="E96" s="2"/>
      <c r="F96" s="37">
        <f t="shared" si="22"/>
        <v>0</v>
      </c>
      <c r="G96" s="2"/>
      <c r="H96" s="12">
        <f t="shared" si="23"/>
        <v>0</v>
      </c>
      <c r="I96" s="2"/>
      <c r="J96" s="12">
        <v>420</v>
      </c>
      <c r="K96" s="2"/>
      <c r="L96" s="13">
        <f t="shared" si="24"/>
        <v>0</v>
      </c>
      <c r="M96" s="2"/>
      <c r="N96" s="12">
        <f t="shared" si="25"/>
        <v>0</v>
      </c>
      <c r="O96" s="2"/>
      <c r="P96" s="12">
        <v>420</v>
      </c>
      <c r="R96" s="2"/>
    </row>
    <row r="97" spans="1:18" x14ac:dyDescent="0.25">
      <c r="A97" t="s">
        <v>73</v>
      </c>
      <c r="B97" t="s">
        <v>23</v>
      </c>
      <c r="C97" t="s">
        <v>24</v>
      </c>
      <c r="D97" s="12">
        <v>4400</v>
      </c>
      <c r="E97" s="2"/>
      <c r="F97" s="37">
        <f t="shared" si="22"/>
        <v>0</v>
      </c>
      <c r="G97" s="2"/>
      <c r="H97" s="12">
        <f t="shared" si="23"/>
        <v>0</v>
      </c>
      <c r="I97" s="2"/>
      <c r="J97" s="12">
        <v>4400</v>
      </c>
      <c r="K97" s="2"/>
      <c r="L97" s="13">
        <f t="shared" si="24"/>
        <v>0</v>
      </c>
      <c r="M97" s="2"/>
      <c r="N97" s="12">
        <f t="shared" si="25"/>
        <v>0</v>
      </c>
      <c r="O97" s="2"/>
      <c r="P97" s="12">
        <v>4400</v>
      </c>
      <c r="R97" s="2"/>
    </row>
    <row r="98" spans="1:18" x14ac:dyDescent="0.25">
      <c r="A98" t="s">
        <v>73</v>
      </c>
      <c r="B98" t="s">
        <v>42</v>
      </c>
      <c r="C98" t="s">
        <v>43</v>
      </c>
      <c r="D98" s="12">
        <v>500</v>
      </c>
      <c r="E98" s="2"/>
      <c r="F98" s="37">
        <f t="shared" si="22"/>
        <v>0</v>
      </c>
      <c r="G98" s="2"/>
      <c r="H98" s="12">
        <f t="shared" si="23"/>
        <v>0</v>
      </c>
      <c r="I98" s="2"/>
      <c r="J98" s="12">
        <v>500</v>
      </c>
      <c r="K98" s="2"/>
      <c r="L98" s="13">
        <f t="shared" si="24"/>
        <v>0</v>
      </c>
      <c r="M98" s="2"/>
      <c r="N98" s="12">
        <f t="shared" si="25"/>
        <v>0</v>
      </c>
      <c r="O98" s="2"/>
      <c r="P98" s="12">
        <v>500</v>
      </c>
      <c r="R98" s="2"/>
    </row>
    <row r="99" spans="1:18" x14ac:dyDescent="0.25">
      <c r="A99" t="s">
        <v>73</v>
      </c>
      <c r="B99" t="s">
        <v>44</v>
      </c>
      <c r="C99" t="s">
        <v>45</v>
      </c>
      <c r="D99" s="12">
        <v>1000</v>
      </c>
      <c r="E99" s="2"/>
      <c r="F99" s="37">
        <f t="shared" si="22"/>
        <v>0</v>
      </c>
      <c r="G99" s="2"/>
      <c r="H99" s="12">
        <f t="shared" si="23"/>
        <v>0</v>
      </c>
      <c r="I99" s="2"/>
      <c r="J99" s="12">
        <v>1000</v>
      </c>
      <c r="K99" s="2"/>
      <c r="L99" s="13">
        <f t="shared" si="24"/>
        <v>1</v>
      </c>
      <c r="M99" s="2"/>
      <c r="N99" s="12">
        <f t="shared" si="25"/>
        <v>500</v>
      </c>
      <c r="O99" s="2"/>
      <c r="P99" s="12">
        <v>500</v>
      </c>
      <c r="R99" s="2"/>
    </row>
    <row r="100" spans="1:18" x14ac:dyDescent="0.25">
      <c r="A100" t="s">
        <v>73</v>
      </c>
      <c r="B100" t="s">
        <v>51</v>
      </c>
      <c r="C100" t="s">
        <v>52</v>
      </c>
      <c r="D100" s="12">
        <v>1636</v>
      </c>
      <c r="E100" s="2"/>
      <c r="F100" s="37">
        <f t="shared" si="22"/>
        <v>0</v>
      </c>
      <c r="G100" s="2"/>
      <c r="H100" s="12">
        <f t="shared" si="23"/>
        <v>0</v>
      </c>
      <c r="I100" s="2"/>
      <c r="J100" s="12">
        <v>1636</v>
      </c>
      <c r="K100" s="2"/>
      <c r="L100" s="13">
        <f t="shared" si="24"/>
        <v>0</v>
      </c>
      <c r="M100" s="2"/>
      <c r="N100" s="12">
        <f t="shared" si="25"/>
        <v>0</v>
      </c>
      <c r="O100" s="2"/>
      <c r="P100" s="12">
        <v>1636</v>
      </c>
      <c r="R100" s="2"/>
    </row>
    <row r="101" spans="1:18" x14ac:dyDescent="0.25">
      <c r="D101" s="2"/>
      <c r="E101" s="2"/>
      <c r="F101" s="2"/>
      <c r="G101" s="2"/>
      <c r="H101" s="2"/>
      <c r="I101" s="2"/>
      <c r="J101" s="2"/>
      <c r="K101" s="2"/>
      <c r="M101" s="2"/>
      <c r="O101" s="2"/>
      <c r="R101" s="2"/>
    </row>
    <row r="102" spans="1:18" x14ac:dyDescent="0.25">
      <c r="A102" t="s">
        <v>5</v>
      </c>
      <c r="B102" t="s">
        <v>5</v>
      </c>
      <c r="C102" s="1" t="s">
        <v>350</v>
      </c>
      <c r="D102" s="8">
        <f>SUM(D86:D100)</f>
        <v>283570</v>
      </c>
      <c r="E102" s="2"/>
      <c r="F102" s="15">
        <f>H102/J102</f>
        <v>3.02794692554753E-2</v>
      </c>
      <c r="G102" s="2"/>
      <c r="H102" s="8">
        <f>SUM(H86:H100)</f>
        <v>8334</v>
      </c>
      <c r="I102" s="2"/>
      <c r="J102" s="8">
        <f>SUM(J86:J100)</f>
        <v>275236</v>
      </c>
      <c r="K102" s="2"/>
      <c r="L102" s="15">
        <f>N102/P102</f>
        <v>5.1181087325987737E-2</v>
      </c>
      <c r="M102" s="2"/>
      <c r="N102" s="8">
        <f>SUM(N86:N100)</f>
        <v>13401</v>
      </c>
      <c r="O102" s="2"/>
      <c r="P102" s="8">
        <f>SUM(P86:P100)</f>
        <v>261835</v>
      </c>
      <c r="R102" s="2"/>
    </row>
    <row r="103" spans="1:18" x14ac:dyDescent="0.25">
      <c r="D103" s="2"/>
      <c r="E103" s="2"/>
      <c r="F103" s="2"/>
      <c r="G103" s="2"/>
      <c r="H103" s="2"/>
      <c r="I103" s="2"/>
      <c r="J103" s="2"/>
      <c r="K103" s="2"/>
      <c r="M103" s="2"/>
      <c r="O103" s="2"/>
      <c r="R103" s="2"/>
    </row>
    <row r="104" spans="1:18" x14ac:dyDescent="0.25">
      <c r="A104" t="s">
        <v>74</v>
      </c>
      <c r="B104" s="20" t="s">
        <v>57</v>
      </c>
      <c r="C104" t="s">
        <v>58</v>
      </c>
      <c r="D104" s="12">
        <v>70000</v>
      </c>
      <c r="E104" s="2"/>
      <c r="F104" s="37">
        <f t="shared" ref="F104:F117" si="26">H104/J104</f>
        <v>0</v>
      </c>
      <c r="G104" s="2"/>
      <c r="H104" s="12">
        <f t="shared" ref="H104:H117" si="27">D104-J104</f>
        <v>0</v>
      </c>
      <c r="I104" s="2"/>
      <c r="J104" s="16">
        <v>70000</v>
      </c>
      <c r="K104" s="2"/>
      <c r="L104" s="13">
        <v>1</v>
      </c>
      <c r="M104" s="2"/>
      <c r="N104" s="12">
        <f>J104-P104</f>
        <v>70000</v>
      </c>
      <c r="O104" s="2"/>
      <c r="P104" s="12">
        <v>0</v>
      </c>
      <c r="Q104" t="s">
        <v>354</v>
      </c>
      <c r="R104" s="2"/>
    </row>
    <row r="105" spans="1:18" x14ac:dyDescent="0.25">
      <c r="A105" t="s">
        <v>74</v>
      </c>
      <c r="B105" t="s">
        <v>30</v>
      </c>
      <c r="C105" t="s">
        <v>31</v>
      </c>
      <c r="D105" s="12">
        <f>ROUNDUP((120938.48),0)</f>
        <v>120939</v>
      </c>
      <c r="E105" s="2"/>
      <c r="F105" s="37">
        <f t="shared" si="26"/>
        <v>0</v>
      </c>
      <c r="G105" s="2"/>
      <c r="H105" s="12">
        <f t="shared" si="27"/>
        <v>0</v>
      </c>
      <c r="I105" s="2"/>
      <c r="J105" s="12">
        <f>ROUNDUP((120938.48),0)</f>
        <v>120939</v>
      </c>
      <c r="K105" s="2"/>
      <c r="L105" s="13">
        <f t="shared" ref="L105:L117" si="28">N105/P105</f>
        <v>2.9925484351713862E-2</v>
      </c>
      <c r="M105" s="2"/>
      <c r="N105" s="12">
        <f>J105-P105</f>
        <v>3514</v>
      </c>
      <c r="O105" s="2"/>
      <c r="P105" s="12">
        <v>117425</v>
      </c>
      <c r="Q105" t="s">
        <v>355</v>
      </c>
      <c r="R105" s="2"/>
    </row>
    <row r="106" spans="1:18" x14ac:dyDescent="0.25">
      <c r="A106" t="s">
        <v>74</v>
      </c>
      <c r="B106" t="s">
        <v>61</v>
      </c>
      <c r="C106" t="s">
        <v>75</v>
      </c>
      <c r="D106" s="12">
        <v>2500</v>
      </c>
      <c r="E106" s="2"/>
      <c r="F106" s="37">
        <f t="shared" si="26"/>
        <v>0</v>
      </c>
      <c r="G106" s="2"/>
      <c r="H106" s="12">
        <f t="shared" si="27"/>
        <v>0</v>
      </c>
      <c r="I106" s="2"/>
      <c r="J106" s="12">
        <v>2500</v>
      </c>
      <c r="K106" s="2"/>
      <c r="L106" s="13">
        <f t="shared" si="28"/>
        <v>0</v>
      </c>
      <c r="M106" s="2"/>
      <c r="N106" s="12">
        <f t="shared" ref="N106:N117" si="29">J106-P106</f>
        <v>0</v>
      </c>
      <c r="O106" s="2"/>
      <c r="P106" s="12">
        <v>2500</v>
      </c>
      <c r="R106" s="2"/>
    </row>
    <row r="107" spans="1:18" x14ac:dyDescent="0.25">
      <c r="A107" t="s">
        <v>74</v>
      </c>
      <c r="B107" t="s">
        <v>34</v>
      </c>
      <c r="C107" t="s">
        <v>35</v>
      </c>
      <c r="D107" s="12">
        <f>ROUNDUP((235.2),0)</f>
        <v>236</v>
      </c>
      <c r="E107" s="2"/>
      <c r="F107" s="37">
        <f t="shared" si="26"/>
        <v>0</v>
      </c>
      <c r="G107" s="2"/>
      <c r="H107" s="12">
        <f t="shared" si="27"/>
        <v>0</v>
      </c>
      <c r="I107" s="2"/>
      <c r="J107" s="12">
        <f>ROUNDUP((235.2),0)</f>
        <v>236</v>
      </c>
      <c r="K107" s="2"/>
      <c r="L107" s="13">
        <f t="shared" si="28"/>
        <v>5.3571428571428568E-2</v>
      </c>
      <c r="M107" s="2"/>
      <c r="N107" s="12">
        <f t="shared" si="29"/>
        <v>12</v>
      </c>
      <c r="O107" s="2"/>
      <c r="P107" s="12">
        <v>224</v>
      </c>
      <c r="R107" s="2"/>
    </row>
    <row r="108" spans="1:18" x14ac:dyDescent="0.25">
      <c r="A108" t="s">
        <v>74</v>
      </c>
      <c r="B108" t="s">
        <v>9</v>
      </c>
      <c r="C108" t="s">
        <v>10</v>
      </c>
      <c r="D108" s="12">
        <f>ROUNDUP((904.97),0)</f>
        <v>905</v>
      </c>
      <c r="E108" s="2"/>
      <c r="F108" s="37">
        <f t="shared" si="26"/>
        <v>0</v>
      </c>
      <c r="G108" s="2"/>
      <c r="H108" s="12">
        <f t="shared" si="27"/>
        <v>0</v>
      </c>
      <c r="I108" s="2"/>
      <c r="J108" s="12">
        <f>ROUNDUP((904.97),0)</f>
        <v>905</v>
      </c>
      <c r="K108" s="2"/>
      <c r="L108" s="13">
        <f t="shared" si="28"/>
        <v>1.685459940652819</v>
      </c>
      <c r="M108" s="2"/>
      <c r="N108" s="12">
        <f t="shared" si="29"/>
        <v>568</v>
      </c>
      <c r="O108" s="2"/>
      <c r="P108" s="12">
        <v>337</v>
      </c>
      <c r="R108" s="2"/>
    </row>
    <row r="109" spans="1:18" x14ac:dyDescent="0.25">
      <c r="A109" t="s">
        <v>74</v>
      </c>
      <c r="B109" t="s">
        <v>36</v>
      </c>
      <c r="C109" t="s">
        <v>37</v>
      </c>
      <c r="D109" s="12">
        <f>ROUNDUP((19475.72),0)</f>
        <v>19476</v>
      </c>
      <c r="E109" s="2"/>
      <c r="F109" s="37">
        <f t="shared" si="26"/>
        <v>0</v>
      </c>
      <c r="G109" s="2"/>
      <c r="H109" s="12">
        <f t="shared" si="27"/>
        <v>0</v>
      </c>
      <c r="I109" s="2"/>
      <c r="J109" s="12">
        <f>ROUNDUP((19475.72),0)</f>
        <v>19476</v>
      </c>
      <c r="K109" s="2"/>
      <c r="L109" s="13">
        <f t="shared" si="28"/>
        <v>0.6259809651026883</v>
      </c>
      <c r="M109" s="2"/>
      <c r="N109" s="12">
        <f t="shared" si="29"/>
        <v>7498</v>
      </c>
      <c r="O109" s="2"/>
      <c r="P109" s="12">
        <v>11978</v>
      </c>
      <c r="R109" s="2"/>
    </row>
    <row r="110" spans="1:18" x14ac:dyDescent="0.25">
      <c r="A110" t="s">
        <v>74</v>
      </c>
      <c r="B110" t="s">
        <v>38</v>
      </c>
      <c r="C110" t="s">
        <v>39</v>
      </c>
      <c r="D110" s="12">
        <f>ROUNDUP((77547.68),0)</f>
        <v>77548</v>
      </c>
      <c r="E110" s="2"/>
      <c r="F110" s="37">
        <f t="shared" si="26"/>
        <v>0</v>
      </c>
      <c r="G110" s="2"/>
      <c r="H110" s="12">
        <f t="shared" si="27"/>
        <v>0</v>
      </c>
      <c r="I110" s="2"/>
      <c r="J110" s="12">
        <f>ROUNDUP((77547.68),0)</f>
        <v>77548</v>
      </c>
      <c r="K110" s="2"/>
      <c r="L110" s="13">
        <f t="shared" si="28"/>
        <v>0.98963464696223313</v>
      </c>
      <c r="M110" s="2"/>
      <c r="N110" s="12">
        <f t="shared" si="29"/>
        <v>38572</v>
      </c>
      <c r="O110" s="2"/>
      <c r="P110" s="12">
        <v>38976</v>
      </c>
      <c r="R110" s="2"/>
    </row>
    <row r="111" spans="1:18" x14ac:dyDescent="0.25">
      <c r="A111" t="s">
        <v>74</v>
      </c>
      <c r="B111" t="s">
        <v>11</v>
      </c>
      <c r="C111" t="s">
        <v>12</v>
      </c>
      <c r="D111" s="12">
        <f>ROUNDUP((14798.04),0)</f>
        <v>14799</v>
      </c>
      <c r="E111" s="2"/>
      <c r="F111" s="37">
        <f t="shared" si="26"/>
        <v>0</v>
      </c>
      <c r="G111" s="2"/>
      <c r="H111" s="12">
        <f t="shared" si="27"/>
        <v>0</v>
      </c>
      <c r="I111" s="2"/>
      <c r="J111" s="12">
        <f>ROUNDUP((14798.04),0)</f>
        <v>14799</v>
      </c>
      <c r="K111" s="2"/>
      <c r="L111" s="13">
        <f t="shared" si="28"/>
        <v>0.61314584695879659</v>
      </c>
      <c r="M111" s="2"/>
      <c r="N111" s="12">
        <f t="shared" si="29"/>
        <v>5625</v>
      </c>
      <c r="O111" s="2"/>
      <c r="P111" s="12">
        <v>9174</v>
      </c>
      <c r="R111" s="2"/>
    </row>
    <row r="112" spans="1:18" x14ac:dyDescent="0.25">
      <c r="A112" t="s">
        <v>74</v>
      </c>
      <c r="B112" t="s">
        <v>13</v>
      </c>
      <c r="C112" t="s">
        <v>14</v>
      </c>
      <c r="D112" s="12">
        <v>3000</v>
      </c>
      <c r="E112" s="2"/>
      <c r="F112" s="37">
        <f t="shared" si="26"/>
        <v>0</v>
      </c>
      <c r="G112" s="2"/>
      <c r="H112" s="12">
        <f t="shared" si="27"/>
        <v>0</v>
      </c>
      <c r="I112" s="2"/>
      <c r="J112" s="12">
        <v>3000</v>
      </c>
      <c r="K112" s="2"/>
      <c r="L112" s="13">
        <f t="shared" si="28"/>
        <v>0</v>
      </c>
      <c r="M112" s="2"/>
      <c r="N112" s="12">
        <f t="shared" si="29"/>
        <v>0</v>
      </c>
      <c r="O112" s="2"/>
      <c r="P112" s="12">
        <v>3000</v>
      </c>
      <c r="R112" s="2"/>
    </row>
    <row r="113" spans="1:18" ht="120" x14ac:dyDescent="0.25">
      <c r="A113" s="1" t="s">
        <v>0</v>
      </c>
      <c r="B113" s="1" t="s">
        <v>1</v>
      </c>
      <c r="C113" s="1" t="s">
        <v>2</v>
      </c>
      <c r="D113" s="5" t="s">
        <v>337</v>
      </c>
      <c r="E113" s="1"/>
      <c r="F113" s="5" t="s">
        <v>409</v>
      </c>
      <c r="G113" s="1"/>
      <c r="H113" s="5" t="s">
        <v>410</v>
      </c>
      <c r="I113" s="1"/>
      <c r="J113" s="5" t="s">
        <v>336</v>
      </c>
      <c r="K113" s="1"/>
      <c r="L113" s="4" t="s">
        <v>344</v>
      </c>
      <c r="M113" s="1"/>
      <c r="N113" s="4" t="s">
        <v>342</v>
      </c>
      <c r="O113" s="1"/>
      <c r="P113" s="4" t="s">
        <v>335</v>
      </c>
      <c r="R113" s="1"/>
    </row>
    <row r="114" spans="1:18" x14ac:dyDescent="0.25">
      <c r="A114" t="s">
        <v>74</v>
      </c>
      <c r="B114" t="s">
        <v>19</v>
      </c>
      <c r="C114" t="s">
        <v>20</v>
      </c>
      <c r="D114" s="12">
        <v>8000</v>
      </c>
      <c r="E114" s="2"/>
      <c r="F114" s="37">
        <f t="shared" si="26"/>
        <v>0</v>
      </c>
      <c r="G114" s="2"/>
      <c r="H114" s="12">
        <f t="shared" si="27"/>
        <v>0</v>
      </c>
      <c r="I114" s="2"/>
      <c r="J114" s="12">
        <v>8000</v>
      </c>
      <c r="K114" s="2"/>
      <c r="L114" s="13">
        <f t="shared" si="28"/>
        <v>0</v>
      </c>
      <c r="M114" s="2"/>
      <c r="N114" s="12">
        <f t="shared" si="29"/>
        <v>0</v>
      </c>
      <c r="O114" s="2"/>
      <c r="P114" s="12">
        <v>8000</v>
      </c>
      <c r="R114" s="2"/>
    </row>
    <row r="115" spans="1:18" x14ac:dyDescent="0.25">
      <c r="A115" t="s">
        <v>74</v>
      </c>
      <c r="B115" t="s">
        <v>23</v>
      </c>
      <c r="C115" t="s">
        <v>24</v>
      </c>
      <c r="D115" s="12">
        <v>1000</v>
      </c>
      <c r="E115" s="2"/>
      <c r="F115" s="37">
        <f t="shared" si="26"/>
        <v>0</v>
      </c>
      <c r="G115" s="2"/>
      <c r="H115" s="12">
        <f t="shared" si="27"/>
        <v>0</v>
      </c>
      <c r="I115" s="2"/>
      <c r="J115" s="12">
        <v>1000</v>
      </c>
      <c r="K115" s="2"/>
      <c r="L115" s="13">
        <f t="shared" si="28"/>
        <v>0.66666666666666663</v>
      </c>
      <c r="M115" s="2"/>
      <c r="N115" s="12">
        <f t="shared" si="29"/>
        <v>400</v>
      </c>
      <c r="O115" s="2"/>
      <c r="P115" s="12">
        <v>600</v>
      </c>
      <c r="R115" s="2"/>
    </row>
    <row r="116" spans="1:18" x14ac:dyDescent="0.25">
      <c r="A116" t="s">
        <v>74</v>
      </c>
      <c r="B116" t="s">
        <v>42</v>
      </c>
      <c r="C116" t="s">
        <v>43</v>
      </c>
      <c r="D116" s="12">
        <v>100</v>
      </c>
      <c r="E116" s="2"/>
      <c r="F116" s="37">
        <f t="shared" si="26"/>
        <v>0</v>
      </c>
      <c r="G116" s="2"/>
      <c r="H116" s="12">
        <f t="shared" si="27"/>
        <v>0</v>
      </c>
      <c r="I116" s="2"/>
      <c r="J116" s="12">
        <v>100</v>
      </c>
      <c r="K116" s="2"/>
      <c r="L116" s="13">
        <v>1</v>
      </c>
      <c r="M116" s="2"/>
      <c r="N116" s="12">
        <f t="shared" si="29"/>
        <v>100</v>
      </c>
      <c r="O116" s="2"/>
      <c r="P116" s="12">
        <v>0</v>
      </c>
      <c r="R116" s="2"/>
    </row>
    <row r="117" spans="1:18" x14ac:dyDescent="0.25">
      <c r="A117" t="s">
        <v>74</v>
      </c>
      <c r="B117" t="s">
        <v>44</v>
      </c>
      <c r="C117" t="s">
        <v>45</v>
      </c>
      <c r="D117" s="12">
        <v>500</v>
      </c>
      <c r="E117" s="2"/>
      <c r="F117" s="37">
        <f t="shared" si="26"/>
        <v>0</v>
      </c>
      <c r="G117" s="2"/>
      <c r="H117" s="12">
        <f t="shared" si="27"/>
        <v>0</v>
      </c>
      <c r="I117" s="2"/>
      <c r="J117" s="12">
        <v>500</v>
      </c>
      <c r="K117" s="2"/>
      <c r="L117" s="13">
        <f t="shared" si="28"/>
        <v>0</v>
      </c>
      <c r="M117" s="2"/>
      <c r="N117" s="12">
        <f t="shared" si="29"/>
        <v>0</v>
      </c>
      <c r="O117" s="2"/>
      <c r="P117" s="12">
        <v>500</v>
      </c>
      <c r="R117" s="2"/>
    </row>
    <row r="118" spans="1:18" x14ac:dyDescent="0.25">
      <c r="D118" s="2"/>
      <c r="E118" s="2"/>
      <c r="F118" s="2"/>
      <c r="G118" s="2"/>
      <c r="H118" s="2"/>
      <c r="I118" s="2"/>
      <c r="J118" s="2"/>
      <c r="K118" s="2"/>
      <c r="L118" s="19"/>
      <c r="M118" s="2"/>
      <c r="O118" s="2"/>
      <c r="R118" s="2"/>
    </row>
    <row r="119" spans="1:18" x14ac:dyDescent="0.25">
      <c r="A119" t="s">
        <v>5</v>
      </c>
      <c r="B119" t="s">
        <v>5</v>
      </c>
      <c r="C119" s="1" t="s">
        <v>351</v>
      </c>
      <c r="D119" s="8">
        <f>SUM(D104:D117)</f>
        <v>319003</v>
      </c>
      <c r="E119" s="2"/>
      <c r="F119" s="15">
        <f>H119/J119</f>
        <v>0</v>
      </c>
      <c r="G119" s="2"/>
      <c r="H119" s="8">
        <f>SUM(H104:H117)</f>
        <v>0</v>
      </c>
      <c r="I119" s="2"/>
      <c r="J119" s="8">
        <f>SUM(J104:J117)</f>
        <v>319003</v>
      </c>
      <c r="K119" s="2"/>
      <c r="L119" s="15">
        <f>N119/P119</f>
        <v>0.65531824361489044</v>
      </c>
      <c r="M119" s="2"/>
      <c r="N119" s="8">
        <f>SUM(N104:N117)</f>
        <v>126289</v>
      </c>
      <c r="O119" s="2"/>
      <c r="P119" s="8">
        <f>SUM(P104:P117)</f>
        <v>192714</v>
      </c>
      <c r="R119" s="2"/>
    </row>
    <row r="120" spans="1:18" x14ac:dyDescent="0.25">
      <c r="D120" s="2"/>
      <c r="E120" s="2"/>
      <c r="F120" s="2"/>
      <c r="G120" s="2"/>
      <c r="H120" s="2"/>
      <c r="I120" s="2"/>
      <c r="J120" s="2"/>
      <c r="K120" s="2"/>
      <c r="M120" s="2"/>
      <c r="O120" s="2"/>
      <c r="R120" s="2"/>
    </row>
    <row r="121" spans="1:18" ht="30" customHeight="1" x14ac:dyDescent="0.25">
      <c r="A121" t="s">
        <v>78</v>
      </c>
      <c r="B121" t="s">
        <v>30</v>
      </c>
      <c r="C121" t="s">
        <v>79</v>
      </c>
      <c r="D121" s="12">
        <f>ROUNDUP((50689.18),0)</f>
        <v>50690</v>
      </c>
      <c r="E121" s="2"/>
      <c r="F121" s="37">
        <f t="shared" ref="F121:F136" si="30">H121/J121</f>
        <v>0</v>
      </c>
      <c r="G121" s="2"/>
      <c r="H121" s="12">
        <f t="shared" ref="H121:H136" si="31">D121-J121</f>
        <v>0</v>
      </c>
      <c r="I121" s="2"/>
      <c r="J121" s="12">
        <f>ROUNDUP((50689.18),0)</f>
        <v>50690</v>
      </c>
      <c r="K121" s="2"/>
      <c r="L121" s="13">
        <f t="shared" ref="L121:L136" si="32">N121/P121</f>
        <v>1.0599829316861056</v>
      </c>
      <c r="M121" s="2"/>
      <c r="N121" s="12">
        <f t="shared" ref="N121:N136" si="33">J121-P121</f>
        <v>26083</v>
      </c>
      <c r="O121" s="2"/>
      <c r="P121" s="12">
        <v>24607</v>
      </c>
      <c r="Q121" s="21" t="s">
        <v>356</v>
      </c>
      <c r="R121" s="2"/>
    </row>
    <row r="122" spans="1:18" x14ac:dyDescent="0.25">
      <c r="A122" t="s">
        <v>78</v>
      </c>
      <c r="B122" t="s">
        <v>34</v>
      </c>
      <c r="C122" t="s">
        <v>35</v>
      </c>
      <c r="D122" s="12">
        <f>ROUNDUP((58.8),0)</f>
        <v>59</v>
      </c>
      <c r="E122" s="2"/>
      <c r="F122" s="37">
        <f t="shared" si="30"/>
        <v>0</v>
      </c>
      <c r="G122" s="2"/>
      <c r="H122" s="12">
        <f t="shared" si="31"/>
        <v>0</v>
      </c>
      <c r="I122" s="2"/>
      <c r="J122" s="12">
        <f>ROUNDUP((58.8),0)</f>
        <v>59</v>
      </c>
      <c r="K122" s="2"/>
      <c r="L122" s="13">
        <f t="shared" si="32"/>
        <v>-0.21333333333333335</v>
      </c>
      <c r="M122" s="2"/>
      <c r="N122" s="12">
        <f t="shared" si="33"/>
        <v>-16</v>
      </c>
      <c r="O122" s="2"/>
      <c r="P122" s="12">
        <v>75</v>
      </c>
      <c r="R122" s="2"/>
    </row>
    <row r="123" spans="1:18" x14ac:dyDescent="0.25">
      <c r="A123" t="s">
        <v>78</v>
      </c>
      <c r="B123" t="s">
        <v>9</v>
      </c>
      <c r="C123" t="s">
        <v>10</v>
      </c>
      <c r="D123" s="12">
        <f>ROUNDUP((237.14),0)</f>
        <v>238</v>
      </c>
      <c r="E123" s="2"/>
      <c r="F123" s="37">
        <f t="shared" si="30"/>
        <v>0</v>
      </c>
      <c r="G123" s="2"/>
      <c r="H123" s="12">
        <f t="shared" si="31"/>
        <v>0</v>
      </c>
      <c r="I123" s="2"/>
      <c r="J123" s="12">
        <f>ROUNDUP((237.14),0)</f>
        <v>238</v>
      </c>
      <c r="K123" s="2"/>
      <c r="L123" s="13">
        <f t="shared" si="32"/>
        <v>1.0877192982456141</v>
      </c>
      <c r="M123" s="2"/>
      <c r="N123" s="12">
        <f t="shared" si="33"/>
        <v>124</v>
      </c>
      <c r="O123" s="2"/>
      <c r="P123" s="12">
        <v>114</v>
      </c>
      <c r="R123" s="2"/>
    </row>
    <row r="124" spans="1:18" x14ac:dyDescent="0.25">
      <c r="A124" t="s">
        <v>78</v>
      </c>
      <c r="B124" t="s">
        <v>36</v>
      </c>
      <c r="C124" t="s">
        <v>37</v>
      </c>
      <c r="D124" s="12">
        <f>ROUNDUP((5170.3),0)</f>
        <v>5171</v>
      </c>
      <c r="E124" s="2"/>
      <c r="F124" s="37">
        <f t="shared" si="30"/>
        <v>0</v>
      </c>
      <c r="G124" s="2"/>
      <c r="H124" s="12">
        <f t="shared" si="31"/>
        <v>0</v>
      </c>
      <c r="I124" s="2"/>
      <c r="J124" s="12">
        <f>ROUNDUP((5170.3),0)</f>
        <v>5171</v>
      </c>
      <c r="K124" s="2"/>
      <c r="L124" s="13">
        <f t="shared" si="32"/>
        <v>1.0601593625498007</v>
      </c>
      <c r="M124" s="2"/>
      <c r="N124" s="12">
        <f t="shared" si="33"/>
        <v>2661</v>
      </c>
      <c r="O124" s="2"/>
      <c r="P124" s="12">
        <v>2510</v>
      </c>
      <c r="R124" s="2"/>
    </row>
    <row r="125" spans="1:18" x14ac:dyDescent="0.25">
      <c r="A125" t="s">
        <v>78</v>
      </c>
      <c r="B125" t="s">
        <v>38</v>
      </c>
      <c r="C125" t="s">
        <v>39</v>
      </c>
      <c r="D125" s="12">
        <f>ROUNDUP((3230.47),0)</f>
        <v>3231</v>
      </c>
      <c r="E125" s="2"/>
      <c r="F125" s="37">
        <f t="shared" si="30"/>
        <v>0</v>
      </c>
      <c r="G125" s="2"/>
      <c r="H125" s="12">
        <f t="shared" si="31"/>
        <v>0</v>
      </c>
      <c r="I125" s="2"/>
      <c r="J125" s="12">
        <f>ROUNDUP((3230.47),0)</f>
        <v>3231</v>
      </c>
      <c r="K125" s="2"/>
      <c r="L125" s="13">
        <f t="shared" si="32"/>
        <v>1.0605867346938775</v>
      </c>
      <c r="M125" s="2"/>
      <c r="N125" s="12">
        <f t="shared" si="33"/>
        <v>1663</v>
      </c>
      <c r="O125" s="2"/>
      <c r="P125" s="12">
        <v>1568</v>
      </c>
      <c r="R125" s="2"/>
    </row>
    <row r="126" spans="1:18" x14ac:dyDescent="0.25">
      <c r="A126" t="s">
        <v>78</v>
      </c>
      <c r="B126" t="s">
        <v>11</v>
      </c>
      <c r="C126" t="s">
        <v>12</v>
      </c>
      <c r="D126" s="12">
        <f>ROUNDUP((3877.72),0)</f>
        <v>3878</v>
      </c>
      <c r="E126" s="2"/>
      <c r="F126" s="37">
        <f t="shared" si="30"/>
        <v>0</v>
      </c>
      <c r="G126" s="2"/>
      <c r="H126" s="12">
        <f t="shared" si="31"/>
        <v>0</v>
      </c>
      <c r="I126" s="2"/>
      <c r="J126" s="12">
        <f>ROUNDUP((3877.72),0)</f>
        <v>3878</v>
      </c>
      <c r="K126" s="2"/>
      <c r="L126" s="13">
        <f t="shared" si="32"/>
        <v>1.0605738575982997</v>
      </c>
      <c r="M126" s="2"/>
      <c r="N126" s="12">
        <f t="shared" si="33"/>
        <v>1996</v>
      </c>
      <c r="O126" s="2"/>
      <c r="P126" s="12">
        <v>1882</v>
      </c>
      <c r="R126" s="2"/>
    </row>
    <row r="127" spans="1:18" x14ac:dyDescent="0.25">
      <c r="A127" t="s">
        <v>78</v>
      </c>
      <c r="B127" t="s">
        <v>13</v>
      </c>
      <c r="C127" t="s">
        <v>14</v>
      </c>
      <c r="D127" s="12">
        <v>1700</v>
      </c>
      <c r="E127" s="2"/>
      <c r="F127" s="37">
        <f t="shared" si="30"/>
        <v>0</v>
      </c>
      <c r="G127" s="2"/>
      <c r="H127" s="12">
        <f t="shared" si="31"/>
        <v>0</v>
      </c>
      <c r="I127" s="2"/>
      <c r="J127" s="12">
        <v>1700</v>
      </c>
      <c r="K127" s="2"/>
      <c r="L127" s="13">
        <f t="shared" si="32"/>
        <v>3</v>
      </c>
      <c r="M127" s="2"/>
      <c r="N127" s="12">
        <f t="shared" si="33"/>
        <v>1275</v>
      </c>
      <c r="O127" s="2"/>
      <c r="P127" s="12">
        <v>425</v>
      </c>
      <c r="Q127" t="s">
        <v>425</v>
      </c>
      <c r="R127" s="2"/>
    </row>
    <row r="128" spans="1:18" x14ac:dyDescent="0.25">
      <c r="A128" t="s">
        <v>78</v>
      </c>
      <c r="B128" t="s">
        <v>19</v>
      </c>
      <c r="C128" t="s">
        <v>20</v>
      </c>
      <c r="D128" s="12">
        <v>400</v>
      </c>
      <c r="E128" s="2"/>
      <c r="F128" s="37">
        <f t="shared" si="30"/>
        <v>0</v>
      </c>
      <c r="G128" s="2"/>
      <c r="H128" s="12">
        <f t="shared" si="31"/>
        <v>0</v>
      </c>
      <c r="I128" s="2"/>
      <c r="J128" s="12">
        <v>400</v>
      </c>
      <c r="K128" s="2"/>
      <c r="L128" s="13">
        <f t="shared" si="32"/>
        <v>0.33333333333333331</v>
      </c>
      <c r="M128" s="2"/>
      <c r="N128" s="12">
        <f t="shared" si="33"/>
        <v>100</v>
      </c>
      <c r="O128" s="2"/>
      <c r="P128" s="12">
        <v>300</v>
      </c>
      <c r="R128" s="2"/>
    </row>
    <row r="129" spans="1:18" x14ac:dyDescent="0.25">
      <c r="A129" t="s">
        <v>78</v>
      </c>
      <c r="B129" t="s">
        <v>63</v>
      </c>
      <c r="C129" t="s">
        <v>64</v>
      </c>
      <c r="D129" s="12">
        <v>350</v>
      </c>
      <c r="E129" s="2"/>
      <c r="F129" s="37">
        <f t="shared" si="30"/>
        <v>0</v>
      </c>
      <c r="G129" s="2"/>
      <c r="H129" s="12">
        <f t="shared" si="31"/>
        <v>0</v>
      </c>
      <c r="I129" s="2"/>
      <c r="J129" s="12">
        <v>350</v>
      </c>
      <c r="K129" s="2"/>
      <c r="L129" s="13">
        <f t="shared" si="32"/>
        <v>6.0606060606060608E-2</v>
      </c>
      <c r="M129" s="2"/>
      <c r="N129" s="12">
        <f t="shared" si="33"/>
        <v>20</v>
      </c>
      <c r="O129" s="2"/>
      <c r="P129" s="12">
        <v>330</v>
      </c>
      <c r="R129" s="2"/>
    </row>
    <row r="130" spans="1:18" x14ac:dyDescent="0.25">
      <c r="A130" t="s">
        <v>78</v>
      </c>
      <c r="B130" t="s">
        <v>23</v>
      </c>
      <c r="C130" t="s">
        <v>24</v>
      </c>
      <c r="D130" s="12">
        <v>600</v>
      </c>
      <c r="E130" s="2"/>
      <c r="F130" s="37">
        <f t="shared" si="30"/>
        <v>0</v>
      </c>
      <c r="G130" s="2"/>
      <c r="H130" s="12">
        <f t="shared" si="31"/>
        <v>0</v>
      </c>
      <c r="I130" s="2"/>
      <c r="J130" s="12">
        <v>600</v>
      </c>
      <c r="K130" s="2"/>
      <c r="L130" s="13">
        <f t="shared" si="32"/>
        <v>0.2</v>
      </c>
      <c r="M130" s="2"/>
      <c r="N130" s="12">
        <f t="shared" si="33"/>
        <v>100</v>
      </c>
      <c r="O130" s="2"/>
      <c r="P130" s="12">
        <v>500</v>
      </c>
      <c r="R130" s="2"/>
    </row>
    <row r="131" spans="1:18" x14ac:dyDescent="0.25">
      <c r="A131" t="s">
        <v>78</v>
      </c>
      <c r="B131" t="s">
        <v>42</v>
      </c>
      <c r="C131" t="s">
        <v>43</v>
      </c>
      <c r="D131" s="12">
        <v>200</v>
      </c>
      <c r="E131" s="2"/>
      <c r="F131" s="37">
        <f t="shared" si="30"/>
        <v>0</v>
      </c>
      <c r="G131" s="2"/>
      <c r="H131" s="12">
        <f t="shared" si="31"/>
        <v>0</v>
      </c>
      <c r="I131" s="2"/>
      <c r="J131" s="12">
        <v>200</v>
      </c>
      <c r="K131" s="2"/>
      <c r="L131" s="13">
        <f t="shared" si="32"/>
        <v>0.33333333333333331</v>
      </c>
      <c r="M131" s="2"/>
      <c r="N131" s="12">
        <f t="shared" si="33"/>
        <v>50</v>
      </c>
      <c r="O131" s="2"/>
      <c r="P131" s="12">
        <v>150</v>
      </c>
      <c r="R131" s="2"/>
    </row>
    <row r="132" spans="1:18" x14ac:dyDescent="0.25">
      <c r="A132" t="s">
        <v>78</v>
      </c>
      <c r="B132" t="s">
        <v>44</v>
      </c>
      <c r="C132" t="s">
        <v>45</v>
      </c>
      <c r="D132" s="12">
        <v>700</v>
      </c>
      <c r="E132" s="2"/>
      <c r="F132" s="37">
        <f t="shared" si="30"/>
        <v>0</v>
      </c>
      <c r="G132" s="2"/>
      <c r="H132" s="12">
        <f t="shared" si="31"/>
        <v>0</v>
      </c>
      <c r="I132" s="2"/>
      <c r="J132" s="12">
        <v>700</v>
      </c>
      <c r="K132" s="2"/>
      <c r="L132" s="13">
        <f t="shared" si="32"/>
        <v>1</v>
      </c>
      <c r="M132" s="2"/>
      <c r="N132" s="12">
        <f t="shared" si="33"/>
        <v>350</v>
      </c>
      <c r="O132" s="2"/>
      <c r="P132" s="12">
        <v>350</v>
      </c>
      <c r="R132" s="2"/>
    </row>
    <row r="133" spans="1:18" x14ac:dyDescent="0.25">
      <c r="A133" t="s">
        <v>78</v>
      </c>
      <c r="B133" t="s">
        <v>51</v>
      </c>
      <c r="C133" t="s">
        <v>52</v>
      </c>
      <c r="D133" s="12">
        <v>35000</v>
      </c>
      <c r="E133" s="2"/>
      <c r="F133" s="37">
        <f t="shared" si="30"/>
        <v>0</v>
      </c>
      <c r="G133" s="2"/>
      <c r="H133" s="12">
        <f t="shared" si="31"/>
        <v>0</v>
      </c>
      <c r="I133" s="2"/>
      <c r="J133" s="12">
        <v>35000</v>
      </c>
      <c r="K133" s="2"/>
      <c r="L133" s="13">
        <f t="shared" si="32"/>
        <v>0</v>
      </c>
      <c r="M133" s="2"/>
      <c r="N133" s="12">
        <f t="shared" si="33"/>
        <v>0</v>
      </c>
      <c r="O133" s="2"/>
      <c r="P133" s="12">
        <v>35000</v>
      </c>
      <c r="R133" s="2"/>
    </row>
    <row r="134" spans="1:18" x14ac:dyDescent="0.25">
      <c r="A134" t="s">
        <v>78</v>
      </c>
      <c r="B134" t="s">
        <v>76</v>
      </c>
      <c r="C134" t="s">
        <v>77</v>
      </c>
      <c r="D134" s="12">
        <v>850</v>
      </c>
      <c r="E134" s="2"/>
      <c r="F134" s="37">
        <f t="shared" si="30"/>
        <v>0</v>
      </c>
      <c r="G134" s="2"/>
      <c r="H134" s="12">
        <f t="shared" si="31"/>
        <v>0</v>
      </c>
      <c r="I134" s="2"/>
      <c r="J134" s="12">
        <v>850</v>
      </c>
      <c r="K134" s="2"/>
      <c r="L134" s="13">
        <f t="shared" si="32"/>
        <v>0.21428571428571427</v>
      </c>
      <c r="M134" s="2"/>
      <c r="N134" s="12">
        <f t="shared" si="33"/>
        <v>150</v>
      </c>
      <c r="O134" s="2"/>
      <c r="P134" s="12">
        <v>700</v>
      </c>
      <c r="R134" s="2"/>
    </row>
    <row r="135" spans="1:18" x14ac:dyDescent="0.25">
      <c r="A135" t="s">
        <v>78</v>
      </c>
      <c r="B135" t="s">
        <v>80</v>
      </c>
      <c r="C135" t="s">
        <v>81</v>
      </c>
      <c r="D135" s="12">
        <v>2000</v>
      </c>
      <c r="E135" s="2"/>
      <c r="F135" s="37">
        <f t="shared" si="30"/>
        <v>0</v>
      </c>
      <c r="G135" s="2"/>
      <c r="H135" s="12">
        <f t="shared" si="31"/>
        <v>0</v>
      </c>
      <c r="I135" s="2"/>
      <c r="J135" s="12">
        <v>2000</v>
      </c>
      <c r="K135" s="2"/>
      <c r="L135" s="13">
        <f t="shared" si="32"/>
        <v>0</v>
      </c>
      <c r="M135" s="2"/>
      <c r="N135" s="12">
        <f t="shared" si="33"/>
        <v>0</v>
      </c>
      <c r="O135" s="2"/>
      <c r="P135" s="12">
        <v>2000</v>
      </c>
      <c r="R135" s="2"/>
    </row>
    <row r="136" spans="1:18" x14ac:dyDescent="0.25">
      <c r="A136" t="s">
        <v>78</v>
      </c>
      <c r="B136" t="s">
        <v>82</v>
      </c>
      <c r="C136" t="s">
        <v>83</v>
      </c>
      <c r="D136" s="12">
        <v>30000</v>
      </c>
      <c r="E136" s="2"/>
      <c r="F136" s="37">
        <f t="shared" si="30"/>
        <v>0</v>
      </c>
      <c r="G136" s="2"/>
      <c r="H136" s="12">
        <f t="shared" si="31"/>
        <v>0</v>
      </c>
      <c r="I136" s="2"/>
      <c r="J136" s="12">
        <v>30000</v>
      </c>
      <c r="K136" s="2"/>
      <c r="L136" s="13">
        <f t="shared" si="32"/>
        <v>0</v>
      </c>
      <c r="M136" s="2"/>
      <c r="N136" s="12">
        <f t="shared" si="33"/>
        <v>0</v>
      </c>
      <c r="O136" s="2"/>
      <c r="P136" s="12">
        <v>30000</v>
      </c>
      <c r="R136" s="2"/>
    </row>
    <row r="137" spans="1:18" x14ac:dyDescent="0.25">
      <c r="D137" s="2"/>
      <c r="E137" s="2"/>
      <c r="F137" s="2"/>
      <c r="G137" s="2"/>
      <c r="H137" s="2"/>
      <c r="I137" s="2"/>
      <c r="J137" s="2"/>
      <c r="K137" s="2"/>
      <c r="M137" s="2"/>
      <c r="O137" s="2"/>
      <c r="R137" s="2"/>
    </row>
    <row r="138" spans="1:18" x14ac:dyDescent="0.25">
      <c r="A138" t="s">
        <v>5</v>
      </c>
      <c r="B138" t="s">
        <v>5</v>
      </c>
      <c r="C138" s="1" t="s">
        <v>352</v>
      </c>
      <c r="D138" s="8">
        <f>SUM(D121:D136)</f>
        <v>135067</v>
      </c>
      <c r="E138" s="2"/>
      <c r="F138" s="15">
        <f>H138/J138</f>
        <v>0</v>
      </c>
      <c r="G138" s="2"/>
      <c r="H138" s="8">
        <f>SUM(H121:H136)</f>
        <v>0</v>
      </c>
      <c r="I138" s="2"/>
      <c r="J138" s="8">
        <f>SUM(J121:J136)</f>
        <v>135067</v>
      </c>
      <c r="K138" s="2"/>
      <c r="L138" s="15">
        <f>N138/P138</f>
        <v>0.34380316582264625</v>
      </c>
      <c r="M138" s="2"/>
      <c r="N138" s="8">
        <f>SUM(N121:N136)</f>
        <v>34556</v>
      </c>
      <c r="O138" s="2"/>
      <c r="P138" s="8">
        <f>SUM(P121:P136)</f>
        <v>100511</v>
      </c>
      <c r="R138" s="2"/>
    </row>
    <row r="139" spans="1:18" x14ac:dyDescent="0.25">
      <c r="D139" s="2"/>
      <c r="E139" s="2"/>
      <c r="F139" s="2"/>
      <c r="G139" s="2"/>
      <c r="H139" s="2"/>
      <c r="I139" s="2"/>
      <c r="J139" s="2"/>
      <c r="K139" s="2"/>
      <c r="M139" s="2"/>
      <c r="O139" s="2"/>
      <c r="R139" s="2"/>
    </row>
    <row r="140" spans="1:18" x14ac:dyDescent="0.25">
      <c r="A140" t="s">
        <v>84</v>
      </c>
      <c r="B140" t="s">
        <v>57</v>
      </c>
      <c r="C140" t="s">
        <v>58</v>
      </c>
      <c r="D140" s="12">
        <f>ROUNDUP((79572.59),0)</f>
        <v>79573</v>
      </c>
      <c r="E140" s="2"/>
      <c r="F140" s="37">
        <f t="shared" ref="F140:F154" si="34">H140/J140</f>
        <v>0</v>
      </c>
      <c r="G140" s="2"/>
      <c r="H140" s="12">
        <f t="shared" ref="H140:H154" si="35">D140-J140</f>
        <v>0</v>
      </c>
      <c r="I140" s="2"/>
      <c r="J140" s="12">
        <f>ROUNDUP((79572.59),0)</f>
        <v>79573</v>
      </c>
      <c r="K140" s="2"/>
      <c r="L140" s="13">
        <f t="shared" ref="L140:L154" si="36">N140/P140</f>
        <v>3.0004530451103489E-2</v>
      </c>
      <c r="M140" s="2"/>
      <c r="N140" s="12">
        <f t="shared" ref="N140:N154" si="37">J140-P140</f>
        <v>2318</v>
      </c>
      <c r="O140" s="2"/>
      <c r="P140" s="12">
        <v>77255</v>
      </c>
      <c r="Q140" t="s">
        <v>355</v>
      </c>
      <c r="R140" s="2"/>
    </row>
    <row r="141" spans="1:18" x14ac:dyDescent="0.25">
      <c r="A141" t="s">
        <v>84</v>
      </c>
      <c r="B141" t="s">
        <v>30</v>
      </c>
      <c r="C141" t="s">
        <v>31</v>
      </c>
      <c r="D141" s="12">
        <f>ROUNDUP((18210.4),0)</f>
        <v>18211</v>
      </c>
      <c r="E141" s="2"/>
      <c r="F141" s="37">
        <f t="shared" si="34"/>
        <v>0</v>
      </c>
      <c r="G141" s="2"/>
      <c r="H141" s="12">
        <f t="shared" si="35"/>
        <v>0</v>
      </c>
      <c r="I141" s="2"/>
      <c r="J141" s="12">
        <f>ROUNDUP((18210.4),0)</f>
        <v>18211</v>
      </c>
      <c r="K141" s="2"/>
      <c r="L141" s="13">
        <f t="shared" si="36"/>
        <v>-0.56397548244983964</v>
      </c>
      <c r="M141" s="2"/>
      <c r="N141" s="12">
        <f t="shared" si="37"/>
        <v>-23555</v>
      </c>
      <c r="O141" s="2"/>
      <c r="P141" s="12">
        <v>41766</v>
      </c>
      <c r="Q141" t="s">
        <v>356</v>
      </c>
      <c r="R141" s="2"/>
    </row>
    <row r="142" spans="1:18" x14ac:dyDescent="0.25">
      <c r="A142" t="s">
        <v>84</v>
      </c>
      <c r="B142" t="s">
        <v>34</v>
      </c>
      <c r="C142" t="s">
        <v>35</v>
      </c>
      <c r="D142" s="12">
        <f>ROUNDUP((117.6),0)</f>
        <v>118</v>
      </c>
      <c r="E142" s="2"/>
      <c r="F142" s="37">
        <f t="shared" si="34"/>
        <v>0</v>
      </c>
      <c r="G142" s="2"/>
      <c r="H142" s="12">
        <f t="shared" si="35"/>
        <v>0</v>
      </c>
      <c r="I142" s="2"/>
      <c r="J142" s="12">
        <f>ROUNDUP((117.6),0)</f>
        <v>118</v>
      </c>
      <c r="K142" s="2"/>
      <c r="L142" s="13">
        <f t="shared" si="36"/>
        <v>-0.20805369127516779</v>
      </c>
      <c r="M142" s="2"/>
      <c r="N142" s="12">
        <f t="shared" si="37"/>
        <v>-31</v>
      </c>
      <c r="O142" s="2"/>
      <c r="P142" s="12">
        <v>149</v>
      </c>
      <c r="R142" s="2"/>
    </row>
    <row r="143" spans="1:18" x14ac:dyDescent="0.25">
      <c r="A143" t="s">
        <v>84</v>
      </c>
      <c r="B143" t="s">
        <v>9</v>
      </c>
      <c r="C143" t="s">
        <v>10</v>
      </c>
      <c r="D143" s="12">
        <f>ROUNDUP((2746.86),0)</f>
        <v>2747</v>
      </c>
      <c r="E143" s="2"/>
      <c r="F143" s="37">
        <f t="shared" si="34"/>
        <v>0</v>
      </c>
      <c r="G143" s="2"/>
      <c r="H143" s="12">
        <f t="shared" si="35"/>
        <v>0</v>
      </c>
      <c r="I143" s="2"/>
      <c r="J143" s="12">
        <f>ROUNDUP((2746.86),0)</f>
        <v>2747</v>
      </c>
      <c r="K143" s="2"/>
      <c r="L143" s="13">
        <f t="shared" si="36"/>
        <v>6.5554693560899921E-2</v>
      </c>
      <c r="M143" s="2"/>
      <c r="N143" s="12">
        <f t="shared" si="37"/>
        <v>169</v>
      </c>
      <c r="O143" s="2"/>
      <c r="P143" s="12">
        <v>2578</v>
      </c>
      <c r="R143" s="2"/>
    </row>
    <row r="144" spans="1:18" x14ac:dyDescent="0.25">
      <c r="A144" t="s">
        <v>84</v>
      </c>
      <c r="B144" t="s">
        <v>36</v>
      </c>
      <c r="C144" t="s">
        <v>37</v>
      </c>
      <c r="D144" s="12">
        <f>ROUNDUP((8116.4),0)</f>
        <v>8117</v>
      </c>
      <c r="E144" s="2"/>
      <c r="F144" s="37">
        <f t="shared" si="34"/>
        <v>0</v>
      </c>
      <c r="G144" s="2"/>
      <c r="H144" s="12">
        <f t="shared" si="35"/>
        <v>0</v>
      </c>
      <c r="I144" s="2"/>
      <c r="J144" s="12">
        <f>ROUNDUP((8116.4),0)</f>
        <v>8117</v>
      </c>
      <c r="K144" s="2"/>
      <c r="L144" s="13">
        <f t="shared" si="36"/>
        <v>-0.21876804619826756</v>
      </c>
      <c r="M144" s="2"/>
      <c r="N144" s="12">
        <f t="shared" si="37"/>
        <v>-2273</v>
      </c>
      <c r="O144" s="2"/>
      <c r="P144" s="12">
        <v>10390</v>
      </c>
      <c r="R144" s="2"/>
    </row>
    <row r="145" spans="1:18" x14ac:dyDescent="0.25">
      <c r="A145" t="s">
        <v>84</v>
      </c>
      <c r="B145" t="s">
        <v>38</v>
      </c>
      <c r="C145" t="s">
        <v>39</v>
      </c>
      <c r="D145" s="12">
        <f>ROUNDUP((27269.05),0)</f>
        <v>27270</v>
      </c>
      <c r="E145" s="2"/>
      <c r="F145" s="37">
        <f t="shared" si="34"/>
        <v>0</v>
      </c>
      <c r="G145" s="2"/>
      <c r="H145" s="12">
        <f t="shared" si="35"/>
        <v>0</v>
      </c>
      <c r="I145" s="2"/>
      <c r="J145" s="12">
        <f>ROUNDUP((27269.05),0)</f>
        <v>27270</v>
      </c>
      <c r="K145" s="2"/>
      <c r="L145" s="13">
        <f t="shared" si="36"/>
        <v>0.38813947569356072</v>
      </c>
      <c r="M145" s="2"/>
      <c r="N145" s="12">
        <f t="shared" si="37"/>
        <v>7625</v>
      </c>
      <c r="O145" s="2"/>
      <c r="P145" s="12">
        <v>19645</v>
      </c>
      <c r="R145" s="2"/>
    </row>
    <row r="146" spans="1:18" x14ac:dyDescent="0.25">
      <c r="A146" t="s">
        <v>84</v>
      </c>
      <c r="B146" t="s">
        <v>11</v>
      </c>
      <c r="C146" t="s">
        <v>12</v>
      </c>
      <c r="D146" s="12">
        <f>ROUNDUP((7480.4),0)</f>
        <v>7481</v>
      </c>
      <c r="E146" s="2"/>
      <c r="F146" s="37">
        <f t="shared" si="34"/>
        <v>0</v>
      </c>
      <c r="G146" s="2"/>
      <c r="H146" s="12">
        <f t="shared" si="35"/>
        <v>0</v>
      </c>
      <c r="I146" s="2"/>
      <c r="J146" s="12">
        <f>ROUNDUP((7480.4),0)</f>
        <v>7481</v>
      </c>
      <c r="K146" s="2"/>
      <c r="L146" s="13">
        <f t="shared" si="36"/>
        <v>-0.17836353651839648</v>
      </c>
      <c r="M146" s="2"/>
      <c r="N146" s="12">
        <f t="shared" si="37"/>
        <v>-1624</v>
      </c>
      <c r="O146" s="2"/>
      <c r="P146" s="12">
        <v>9105</v>
      </c>
      <c r="R146" s="2"/>
    </row>
    <row r="147" spans="1:18" x14ac:dyDescent="0.25">
      <c r="A147" t="s">
        <v>84</v>
      </c>
      <c r="B147" t="s">
        <v>13</v>
      </c>
      <c r="C147" t="s">
        <v>14</v>
      </c>
      <c r="D147" s="12">
        <v>1600</v>
      </c>
      <c r="E147" s="2"/>
      <c r="F147" s="37">
        <f t="shared" si="34"/>
        <v>0</v>
      </c>
      <c r="G147" s="2"/>
      <c r="H147" s="12">
        <f t="shared" si="35"/>
        <v>0</v>
      </c>
      <c r="I147" s="2"/>
      <c r="J147" s="12">
        <v>1600</v>
      </c>
      <c r="K147" s="2"/>
      <c r="L147" s="13">
        <f t="shared" si="36"/>
        <v>1.5873015873015872E-2</v>
      </c>
      <c r="M147" s="2"/>
      <c r="N147" s="12">
        <f t="shared" si="37"/>
        <v>25</v>
      </c>
      <c r="O147" s="2"/>
      <c r="P147" s="12">
        <v>1575</v>
      </c>
      <c r="R147" s="2"/>
    </row>
    <row r="148" spans="1:18" x14ac:dyDescent="0.25">
      <c r="A148" t="s">
        <v>84</v>
      </c>
      <c r="B148" t="s">
        <v>19</v>
      </c>
      <c r="C148" t="s">
        <v>20</v>
      </c>
      <c r="D148" s="12">
        <v>200</v>
      </c>
      <c r="E148" s="2"/>
      <c r="F148" s="37">
        <f t="shared" si="34"/>
        <v>0</v>
      </c>
      <c r="G148" s="2"/>
      <c r="H148" s="12">
        <f t="shared" si="35"/>
        <v>0</v>
      </c>
      <c r="I148" s="2"/>
      <c r="J148" s="12">
        <v>200</v>
      </c>
      <c r="K148" s="2"/>
      <c r="L148" s="13">
        <f t="shared" si="36"/>
        <v>0.33333333333333331</v>
      </c>
      <c r="M148" s="2"/>
      <c r="N148" s="12">
        <f t="shared" si="37"/>
        <v>50</v>
      </c>
      <c r="O148" s="2"/>
      <c r="P148" s="12">
        <v>150</v>
      </c>
      <c r="R148" s="2"/>
    </row>
    <row r="149" spans="1:18" x14ac:dyDescent="0.25">
      <c r="A149" t="s">
        <v>84</v>
      </c>
      <c r="B149" t="s">
        <v>40</v>
      </c>
      <c r="C149" t="s">
        <v>41</v>
      </c>
      <c r="D149" s="12">
        <v>420</v>
      </c>
      <c r="E149" s="2"/>
      <c r="F149" s="37">
        <f t="shared" si="34"/>
        <v>0</v>
      </c>
      <c r="G149" s="2"/>
      <c r="H149" s="12">
        <f t="shared" si="35"/>
        <v>0</v>
      </c>
      <c r="I149" s="2"/>
      <c r="J149" s="12">
        <v>420</v>
      </c>
      <c r="K149" s="2"/>
      <c r="L149" s="13">
        <f t="shared" si="36"/>
        <v>0</v>
      </c>
      <c r="M149" s="2"/>
      <c r="N149" s="12">
        <f t="shared" si="37"/>
        <v>0</v>
      </c>
      <c r="O149" s="2"/>
      <c r="P149" s="12">
        <v>420</v>
      </c>
      <c r="R149" s="2"/>
    </row>
    <row r="150" spans="1:18" x14ac:dyDescent="0.25">
      <c r="A150" t="s">
        <v>84</v>
      </c>
      <c r="B150" t="s">
        <v>85</v>
      </c>
      <c r="C150" t="s">
        <v>86</v>
      </c>
      <c r="D150" s="12">
        <v>850</v>
      </c>
      <c r="E150" s="2"/>
      <c r="F150" s="37">
        <f t="shared" si="34"/>
        <v>0</v>
      </c>
      <c r="G150" s="2"/>
      <c r="H150" s="12">
        <f t="shared" si="35"/>
        <v>0</v>
      </c>
      <c r="I150" s="2"/>
      <c r="J150" s="12">
        <v>850</v>
      </c>
      <c r="K150" s="2"/>
      <c r="L150" s="13">
        <f t="shared" si="36"/>
        <v>0</v>
      </c>
      <c r="M150" s="2"/>
      <c r="N150" s="12">
        <f t="shared" si="37"/>
        <v>0</v>
      </c>
      <c r="O150" s="2"/>
      <c r="P150" s="12">
        <v>850</v>
      </c>
      <c r="R150" s="2"/>
    </row>
    <row r="151" spans="1:18" x14ac:dyDescent="0.25">
      <c r="A151" t="s">
        <v>84</v>
      </c>
      <c r="B151" t="s">
        <v>23</v>
      </c>
      <c r="C151" t="s">
        <v>24</v>
      </c>
      <c r="D151" s="12">
        <v>800</v>
      </c>
      <c r="E151" s="2"/>
      <c r="F151" s="37">
        <f t="shared" si="34"/>
        <v>0</v>
      </c>
      <c r="G151" s="2"/>
      <c r="H151" s="12">
        <f t="shared" si="35"/>
        <v>0</v>
      </c>
      <c r="I151" s="2"/>
      <c r="J151" s="12">
        <v>800</v>
      </c>
      <c r="K151" s="2"/>
      <c r="L151" s="13">
        <f t="shared" si="36"/>
        <v>0.33333333333333331</v>
      </c>
      <c r="M151" s="2"/>
      <c r="N151" s="12">
        <f t="shared" si="37"/>
        <v>200</v>
      </c>
      <c r="O151" s="2"/>
      <c r="P151" s="12">
        <v>600</v>
      </c>
      <c r="R151" s="2"/>
    </row>
    <row r="152" spans="1:18" x14ac:dyDescent="0.25">
      <c r="A152" t="s">
        <v>84</v>
      </c>
      <c r="B152" t="s">
        <v>42</v>
      </c>
      <c r="C152" t="s">
        <v>43</v>
      </c>
      <c r="D152" s="12">
        <v>120</v>
      </c>
      <c r="E152" s="2"/>
      <c r="F152" s="37">
        <f t="shared" si="34"/>
        <v>0</v>
      </c>
      <c r="G152" s="2"/>
      <c r="H152" s="12">
        <f t="shared" si="35"/>
        <v>0</v>
      </c>
      <c r="I152" s="2"/>
      <c r="J152" s="12">
        <v>120</v>
      </c>
      <c r="K152" s="2"/>
      <c r="L152" s="13">
        <f t="shared" si="36"/>
        <v>0</v>
      </c>
      <c r="M152" s="2"/>
      <c r="N152" s="12">
        <f t="shared" si="37"/>
        <v>0</v>
      </c>
      <c r="O152" s="2"/>
      <c r="P152" s="12">
        <v>120</v>
      </c>
      <c r="R152" s="2"/>
    </row>
    <row r="153" spans="1:18" x14ac:dyDescent="0.25">
      <c r="A153" t="s">
        <v>84</v>
      </c>
      <c r="B153" t="s">
        <v>87</v>
      </c>
      <c r="C153" t="s">
        <v>88</v>
      </c>
      <c r="D153" s="12">
        <v>200</v>
      </c>
      <c r="E153" s="2"/>
      <c r="F153" s="37">
        <f t="shared" si="34"/>
        <v>0</v>
      </c>
      <c r="G153" s="2"/>
      <c r="H153" s="12">
        <f t="shared" si="35"/>
        <v>0</v>
      </c>
      <c r="I153" s="2"/>
      <c r="J153" s="12">
        <v>200</v>
      </c>
      <c r="K153" s="2"/>
      <c r="L153" s="13">
        <f t="shared" si="36"/>
        <v>-0.8</v>
      </c>
      <c r="M153" s="2"/>
      <c r="N153" s="12">
        <f t="shared" si="37"/>
        <v>-800</v>
      </c>
      <c r="O153" s="2"/>
      <c r="P153" s="12">
        <v>1000</v>
      </c>
      <c r="Q153" t="s">
        <v>360</v>
      </c>
      <c r="R153" s="2"/>
    </row>
    <row r="154" spans="1:18" x14ac:dyDescent="0.25">
      <c r="A154" t="s">
        <v>84</v>
      </c>
      <c r="B154" t="s">
        <v>80</v>
      </c>
      <c r="C154" t="s">
        <v>81</v>
      </c>
      <c r="D154" s="12">
        <v>3150</v>
      </c>
      <c r="E154" s="2"/>
      <c r="F154" s="37">
        <f t="shared" si="34"/>
        <v>0</v>
      </c>
      <c r="G154" s="2"/>
      <c r="H154" s="12">
        <f t="shared" si="35"/>
        <v>0</v>
      </c>
      <c r="I154" s="2"/>
      <c r="J154" s="12">
        <v>3150</v>
      </c>
      <c r="K154" s="2"/>
      <c r="L154" s="13">
        <f t="shared" si="36"/>
        <v>2.15</v>
      </c>
      <c r="M154" s="2"/>
      <c r="N154" s="12">
        <f t="shared" si="37"/>
        <v>2150</v>
      </c>
      <c r="O154" s="2"/>
      <c r="P154" s="12">
        <v>1000</v>
      </c>
      <c r="Q154" t="s">
        <v>359</v>
      </c>
      <c r="R154" s="2"/>
    </row>
    <row r="155" spans="1:18" x14ac:dyDescent="0.25">
      <c r="D155" s="2"/>
      <c r="E155" s="2"/>
      <c r="F155" s="2"/>
      <c r="G155" s="2"/>
      <c r="H155" s="2"/>
      <c r="I155" s="2"/>
      <c r="J155" s="2"/>
      <c r="K155" s="2"/>
      <c r="M155" s="2"/>
      <c r="O155" s="2"/>
      <c r="R155" s="2"/>
    </row>
    <row r="156" spans="1:18" x14ac:dyDescent="0.25">
      <c r="A156" t="s">
        <v>5</v>
      </c>
      <c r="B156" t="s">
        <v>5</v>
      </c>
      <c r="C156" s="1" t="s">
        <v>353</v>
      </c>
      <c r="D156" s="8">
        <f>SUM(D140:D154)</f>
        <v>150857</v>
      </c>
      <c r="E156" s="2"/>
      <c r="F156" s="15">
        <f>H156/J156</f>
        <v>0</v>
      </c>
      <c r="G156" s="2"/>
      <c r="H156" s="8">
        <f>SUM(H140:H154)</f>
        <v>0</v>
      </c>
      <c r="I156" s="2"/>
      <c r="J156" s="8">
        <f>SUM(J140:J154)</f>
        <v>150857</v>
      </c>
      <c r="K156" s="2"/>
      <c r="L156" s="15">
        <f>N156/P156</f>
        <v>-9.4512103623584212E-2</v>
      </c>
      <c r="M156" s="2"/>
      <c r="N156" s="8">
        <f>SUM(N140:N154)</f>
        <v>-15746</v>
      </c>
      <c r="O156" s="2"/>
      <c r="P156" s="8">
        <f>SUM(P140:P154)</f>
        <v>166603</v>
      </c>
      <c r="R156" s="2"/>
    </row>
    <row r="157" spans="1:18" x14ac:dyDescent="0.25">
      <c r="D157" s="2"/>
      <c r="E157" s="2"/>
      <c r="F157" s="2"/>
      <c r="G157" s="2"/>
      <c r="H157" s="2"/>
      <c r="I157" s="2"/>
      <c r="J157" s="2"/>
      <c r="K157" s="2"/>
      <c r="M157" s="2"/>
      <c r="O157" s="2"/>
      <c r="R157" s="2"/>
    </row>
    <row r="158" spans="1:18" ht="21" customHeight="1" x14ac:dyDescent="0.25">
      <c r="A158" t="s">
        <v>89</v>
      </c>
      <c r="B158" t="s">
        <v>90</v>
      </c>
      <c r="C158" t="s">
        <v>91</v>
      </c>
      <c r="D158" s="12">
        <f>J158*1.15</f>
        <v>34500</v>
      </c>
      <c r="E158" s="2"/>
      <c r="F158" s="37">
        <f t="shared" ref="F158:F168" si="38">H158/J158</f>
        <v>0.15</v>
      </c>
      <c r="G158" s="2"/>
      <c r="H158" s="12">
        <f t="shared" ref="H158:H168" si="39">D158-J158</f>
        <v>4500</v>
      </c>
      <c r="I158" s="2"/>
      <c r="J158" s="12">
        <v>30000</v>
      </c>
      <c r="K158" s="2"/>
      <c r="L158" s="13">
        <f t="shared" ref="L158:L168" si="40">N158/P158</f>
        <v>0</v>
      </c>
      <c r="M158" s="2"/>
      <c r="N158" s="12">
        <f t="shared" ref="N158:N168" si="41">J158-P158</f>
        <v>0</v>
      </c>
      <c r="O158" s="2"/>
      <c r="P158" s="12">
        <v>30000</v>
      </c>
      <c r="Q158" s="21" t="s">
        <v>414</v>
      </c>
      <c r="R158" s="2"/>
    </row>
    <row r="159" spans="1:18" ht="21" customHeight="1" x14ac:dyDescent="0.25">
      <c r="A159" t="s">
        <v>89</v>
      </c>
      <c r="B159" t="s">
        <v>92</v>
      </c>
      <c r="C159" t="s">
        <v>93</v>
      </c>
      <c r="D159" s="12">
        <f t="shared" ref="D159:D167" si="42">ROUNDUP((J159*1.15),0)</f>
        <v>6650</v>
      </c>
      <c r="E159" s="2"/>
      <c r="F159" s="37">
        <f t="shared" si="38"/>
        <v>0.15012106537530268</v>
      </c>
      <c r="G159" s="2"/>
      <c r="H159" s="12">
        <f t="shared" si="39"/>
        <v>868</v>
      </c>
      <c r="I159" s="2"/>
      <c r="J159" s="12">
        <v>5782</v>
      </c>
      <c r="K159" s="2"/>
      <c r="L159" s="13">
        <f t="shared" si="40"/>
        <v>0</v>
      </c>
      <c r="M159" s="2"/>
      <c r="N159" s="12">
        <f t="shared" si="41"/>
        <v>0</v>
      </c>
      <c r="O159" s="2"/>
      <c r="P159" s="12">
        <v>5782</v>
      </c>
      <c r="Q159" s="21" t="s">
        <v>414</v>
      </c>
      <c r="R159" s="2"/>
    </row>
    <row r="160" spans="1:18" ht="21" customHeight="1" x14ac:dyDescent="0.25">
      <c r="A160" t="s">
        <v>89</v>
      </c>
      <c r="B160" t="s">
        <v>94</v>
      </c>
      <c r="C160" t="s">
        <v>95</v>
      </c>
      <c r="D160" s="12">
        <f t="shared" si="42"/>
        <v>23033</v>
      </c>
      <c r="E160" s="2"/>
      <c r="F160" s="37">
        <f t="shared" si="38"/>
        <v>0.15003994407829038</v>
      </c>
      <c r="G160" s="2"/>
      <c r="H160" s="12">
        <f t="shared" si="39"/>
        <v>3005</v>
      </c>
      <c r="I160" s="2"/>
      <c r="J160" s="12">
        <v>20028</v>
      </c>
      <c r="K160" s="2"/>
      <c r="L160" s="13">
        <f t="shared" si="40"/>
        <v>0</v>
      </c>
      <c r="M160" s="2"/>
      <c r="N160" s="12">
        <f t="shared" si="41"/>
        <v>0</v>
      </c>
      <c r="O160" s="2"/>
      <c r="P160" s="12">
        <v>20028</v>
      </c>
      <c r="Q160" s="21" t="s">
        <v>414</v>
      </c>
      <c r="R160" s="2"/>
    </row>
    <row r="161" spans="1:18" ht="21" customHeight="1" x14ac:dyDescent="0.25">
      <c r="A161" t="s">
        <v>89</v>
      </c>
      <c r="B161" t="s">
        <v>96</v>
      </c>
      <c r="C161" t="s">
        <v>97</v>
      </c>
      <c r="D161" s="12">
        <f t="shared" si="42"/>
        <v>6097</v>
      </c>
      <c r="E161" s="2"/>
      <c r="F161" s="37">
        <f t="shared" si="38"/>
        <v>0.15016034710431994</v>
      </c>
      <c r="G161" s="2"/>
      <c r="H161" s="12">
        <f t="shared" si="39"/>
        <v>796</v>
      </c>
      <c r="I161" s="2"/>
      <c r="J161" s="12">
        <v>5301</v>
      </c>
      <c r="K161" s="2"/>
      <c r="L161" s="13">
        <f t="shared" si="40"/>
        <v>0</v>
      </c>
      <c r="M161" s="2"/>
      <c r="N161" s="12">
        <f t="shared" si="41"/>
        <v>0</v>
      </c>
      <c r="O161" s="2"/>
      <c r="P161" s="12">
        <v>5301</v>
      </c>
      <c r="Q161" s="21" t="s">
        <v>414</v>
      </c>
      <c r="R161" s="2"/>
    </row>
    <row r="162" spans="1:18" ht="21" customHeight="1" x14ac:dyDescent="0.25">
      <c r="A162" t="s">
        <v>89</v>
      </c>
      <c r="B162" t="s">
        <v>98</v>
      </c>
      <c r="C162" t="s">
        <v>99</v>
      </c>
      <c r="D162" s="12">
        <f t="shared" si="42"/>
        <v>43728</v>
      </c>
      <c r="E162" s="2"/>
      <c r="F162" s="37">
        <f t="shared" si="38"/>
        <v>0.15001051967178625</v>
      </c>
      <c r="G162" s="2"/>
      <c r="H162" s="12">
        <f t="shared" si="39"/>
        <v>5704</v>
      </c>
      <c r="I162" s="2"/>
      <c r="J162" s="12">
        <v>38024</v>
      </c>
      <c r="K162" s="2"/>
      <c r="L162" s="13">
        <f t="shared" si="40"/>
        <v>0</v>
      </c>
      <c r="M162" s="2"/>
      <c r="N162" s="12">
        <f t="shared" si="41"/>
        <v>0</v>
      </c>
      <c r="O162" s="2"/>
      <c r="P162" s="12">
        <v>38024</v>
      </c>
      <c r="Q162" s="21" t="s">
        <v>414</v>
      </c>
      <c r="R162" s="2"/>
    </row>
    <row r="163" spans="1:18" ht="21" customHeight="1" x14ac:dyDescent="0.25">
      <c r="A163" t="s">
        <v>89</v>
      </c>
      <c r="B163" t="s">
        <v>100</v>
      </c>
      <c r="C163" t="s">
        <v>101</v>
      </c>
      <c r="D163" s="12">
        <f t="shared" si="42"/>
        <v>489</v>
      </c>
      <c r="E163" s="2"/>
      <c r="F163" s="37">
        <f t="shared" si="38"/>
        <v>0.15058823529411763</v>
      </c>
      <c r="G163" s="2"/>
      <c r="H163" s="12">
        <f t="shared" si="39"/>
        <v>64</v>
      </c>
      <c r="I163" s="2"/>
      <c r="J163" s="12">
        <v>425</v>
      </c>
      <c r="K163" s="2"/>
      <c r="L163" s="13">
        <f t="shared" si="40"/>
        <v>0</v>
      </c>
      <c r="M163" s="2"/>
      <c r="N163" s="12">
        <f t="shared" si="41"/>
        <v>0</v>
      </c>
      <c r="O163" s="2"/>
      <c r="P163" s="12">
        <v>425</v>
      </c>
      <c r="Q163" s="21" t="s">
        <v>414</v>
      </c>
      <c r="R163" s="2"/>
    </row>
    <row r="164" spans="1:18" ht="21" customHeight="1" x14ac:dyDescent="0.25">
      <c r="A164" t="s">
        <v>89</v>
      </c>
      <c r="B164" t="s">
        <v>102</v>
      </c>
      <c r="C164" t="s">
        <v>103</v>
      </c>
      <c r="D164" s="12">
        <f t="shared" si="42"/>
        <v>1777</v>
      </c>
      <c r="E164" s="2"/>
      <c r="F164" s="37">
        <f t="shared" si="38"/>
        <v>0.15016181229773462</v>
      </c>
      <c r="G164" s="2"/>
      <c r="H164" s="12">
        <f t="shared" si="39"/>
        <v>232</v>
      </c>
      <c r="I164" s="2"/>
      <c r="J164" s="12">
        <v>1545</v>
      </c>
      <c r="K164" s="2"/>
      <c r="L164" s="13">
        <f t="shared" si="40"/>
        <v>0</v>
      </c>
      <c r="M164" s="2"/>
      <c r="N164" s="12">
        <f t="shared" si="41"/>
        <v>0</v>
      </c>
      <c r="O164" s="2"/>
      <c r="P164" s="12">
        <v>1545</v>
      </c>
      <c r="Q164" s="21" t="s">
        <v>414</v>
      </c>
      <c r="R164" s="2"/>
    </row>
    <row r="165" spans="1:18" ht="21" customHeight="1" x14ac:dyDescent="0.25">
      <c r="A165" t="s">
        <v>89</v>
      </c>
      <c r="B165" t="s">
        <v>104</v>
      </c>
      <c r="C165" t="s">
        <v>105</v>
      </c>
      <c r="D165" s="12">
        <f t="shared" si="42"/>
        <v>2371</v>
      </c>
      <c r="E165" s="2"/>
      <c r="F165" s="37">
        <f t="shared" si="38"/>
        <v>0.15041242115477924</v>
      </c>
      <c r="G165" s="2"/>
      <c r="H165" s="12">
        <f t="shared" si="39"/>
        <v>310</v>
      </c>
      <c r="I165" s="2"/>
      <c r="J165" s="12">
        <v>2061</v>
      </c>
      <c r="K165" s="2"/>
      <c r="L165" s="13">
        <f t="shared" si="40"/>
        <v>0</v>
      </c>
      <c r="M165" s="2"/>
      <c r="N165" s="12">
        <f t="shared" si="41"/>
        <v>0</v>
      </c>
      <c r="O165" s="2"/>
      <c r="P165" s="12">
        <v>2061</v>
      </c>
      <c r="Q165" s="21" t="s">
        <v>414</v>
      </c>
      <c r="R165" s="2"/>
    </row>
    <row r="166" spans="1:18" ht="120" x14ac:dyDescent="0.25">
      <c r="A166" s="1" t="s">
        <v>0</v>
      </c>
      <c r="B166" s="1" t="s">
        <v>1</v>
      </c>
      <c r="C166" s="1" t="s">
        <v>2</v>
      </c>
      <c r="D166" s="5" t="s">
        <v>337</v>
      </c>
      <c r="E166" s="1"/>
      <c r="F166" s="5" t="s">
        <v>409</v>
      </c>
      <c r="G166" s="1"/>
      <c r="H166" s="5" t="s">
        <v>410</v>
      </c>
      <c r="I166" s="1"/>
      <c r="J166" s="5" t="s">
        <v>336</v>
      </c>
      <c r="K166" s="1"/>
      <c r="L166" s="4" t="s">
        <v>344</v>
      </c>
      <c r="M166" s="1"/>
      <c r="N166" s="4" t="s">
        <v>342</v>
      </c>
      <c r="O166" s="1"/>
      <c r="P166" s="4" t="s">
        <v>335</v>
      </c>
      <c r="R166" s="1"/>
    </row>
    <row r="167" spans="1:18" ht="21" customHeight="1" x14ac:dyDescent="0.25">
      <c r="A167" t="s">
        <v>89</v>
      </c>
      <c r="B167" t="s">
        <v>106</v>
      </c>
      <c r="C167" t="s">
        <v>107</v>
      </c>
      <c r="D167" s="12">
        <f t="shared" si="42"/>
        <v>3422</v>
      </c>
      <c r="E167" s="2"/>
      <c r="F167" s="37">
        <f t="shared" si="38"/>
        <v>0.15025210084033613</v>
      </c>
      <c r="G167" s="2"/>
      <c r="H167" s="12">
        <f t="shared" si="39"/>
        <v>447</v>
      </c>
      <c r="I167" s="2"/>
      <c r="J167" s="12">
        <v>2975</v>
      </c>
      <c r="K167" s="2"/>
      <c r="L167" s="13">
        <f t="shared" si="40"/>
        <v>0</v>
      </c>
      <c r="M167" s="2"/>
      <c r="N167" s="12">
        <f t="shared" si="41"/>
        <v>0</v>
      </c>
      <c r="O167" s="2"/>
      <c r="P167" s="12">
        <v>2975</v>
      </c>
      <c r="Q167" s="21" t="s">
        <v>414</v>
      </c>
      <c r="R167" s="2"/>
    </row>
    <row r="168" spans="1:18" ht="21" customHeight="1" x14ac:dyDescent="0.25">
      <c r="A168" t="s">
        <v>89</v>
      </c>
      <c r="B168" t="s">
        <v>108</v>
      </c>
      <c r="C168" t="s">
        <v>109</v>
      </c>
      <c r="D168" s="12">
        <f t="shared" ref="D168" si="43">J168*1.15</f>
        <v>1449</v>
      </c>
      <c r="E168" s="2"/>
      <c r="F168" s="37">
        <f t="shared" si="38"/>
        <v>0.15</v>
      </c>
      <c r="G168" s="2"/>
      <c r="H168" s="12">
        <f t="shared" si="39"/>
        <v>189</v>
      </c>
      <c r="I168" s="2"/>
      <c r="J168" s="12">
        <v>1260</v>
      </c>
      <c r="K168" s="2"/>
      <c r="L168" s="13">
        <f t="shared" si="40"/>
        <v>0</v>
      </c>
      <c r="M168" s="2"/>
      <c r="N168" s="12">
        <f t="shared" si="41"/>
        <v>0</v>
      </c>
      <c r="O168" s="2"/>
      <c r="P168" s="12">
        <v>1260</v>
      </c>
      <c r="Q168" s="21" t="s">
        <v>414</v>
      </c>
      <c r="R168" s="2"/>
    </row>
    <row r="169" spans="1:18" x14ac:dyDescent="0.25">
      <c r="D169" s="2"/>
      <c r="E169" s="2"/>
      <c r="F169" s="2"/>
      <c r="G169" s="2"/>
      <c r="H169" s="2"/>
      <c r="I169" s="2"/>
      <c r="J169" s="2"/>
      <c r="K169" s="2"/>
      <c r="M169" s="2"/>
      <c r="O169" s="2"/>
      <c r="R169" s="2"/>
    </row>
    <row r="170" spans="1:18" x14ac:dyDescent="0.25">
      <c r="A170" t="s">
        <v>5</v>
      </c>
      <c r="B170" t="s">
        <v>5</v>
      </c>
      <c r="C170" s="1" t="s">
        <v>361</v>
      </c>
      <c r="D170" s="8">
        <f>SUM(D158:D168)</f>
        <v>123516</v>
      </c>
      <c r="E170" s="2"/>
      <c r="F170" s="15">
        <f>H170/J170</f>
        <v>0.15004515786631409</v>
      </c>
      <c r="G170" s="2"/>
      <c r="H170" s="8">
        <f>SUM(H158:H168)</f>
        <v>16115</v>
      </c>
      <c r="I170" s="2"/>
      <c r="J170" s="8">
        <f>SUM(J158:J168)</f>
        <v>107401</v>
      </c>
      <c r="K170" s="2"/>
      <c r="L170" s="8">
        <f>N170/P170</f>
        <v>0</v>
      </c>
      <c r="M170" s="2"/>
      <c r="N170" s="8">
        <f>SUM(N158:N168)</f>
        <v>0</v>
      </c>
      <c r="O170" s="2"/>
      <c r="P170" s="8">
        <f>SUM(P158:P168)</f>
        <v>107401</v>
      </c>
      <c r="R170" s="2"/>
    </row>
    <row r="171" spans="1:18" x14ac:dyDescent="0.25">
      <c r="D171" s="2"/>
      <c r="E171" s="2"/>
      <c r="F171" s="2"/>
      <c r="G171" s="2"/>
      <c r="H171" s="2"/>
      <c r="I171" s="2"/>
      <c r="J171" s="2"/>
      <c r="K171" s="2"/>
      <c r="M171" s="2"/>
      <c r="O171" s="2"/>
      <c r="R171" s="2"/>
    </row>
    <row r="172" spans="1:18" x14ac:dyDescent="0.25">
      <c r="A172" t="s">
        <v>110</v>
      </c>
      <c r="B172" t="s">
        <v>111</v>
      </c>
      <c r="C172" s="30" t="s">
        <v>112</v>
      </c>
      <c r="D172" s="12">
        <v>31200</v>
      </c>
      <c r="E172" s="2"/>
      <c r="F172" s="37">
        <f t="shared" ref="F172:F175" si="44">H172/J172</f>
        <v>0.18857142857142858</v>
      </c>
      <c r="G172" s="2"/>
      <c r="H172" s="12">
        <f t="shared" ref="H172:H175" si="45">D172-J172</f>
        <v>4950</v>
      </c>
      <c r="I172" s="2"/>
      <c r="J172" s="12">
        <v>26250</v>
      </c>
      <c r="K172" s="2"/>
      <c r="L172" s="13">
        <f t="shared" ref="L172:L175" si="46">N172/P172</f>
        <v>0.25</v>
      </c>
      <c r="M172" s="2"/>
      <c r="N172" s="12">
        <f t="shared" ref="N172:N175" si="47">J172-P172</f>
        <v>5250</v>
      </c>
      <c r="O172" s="2"/>
      <c r="P172" s="9">
        <v>21000</v>
      </c>
      <c r="R172" s="2"/>
    </row>
    <row r="173" spans="1:18" x14ac:dyDescent="0.25">
      <c r="A173" t="s">
        <v>110</v>
      </c>
      <c r="B173" t="s">
        <v>113</v>
      </c>
      <c r="C173" s="30" t="s">
        <v>114</v>
      </c>
      <c r="D173" s="12">
        <v>14256</v>
      </c>
      <c r="E173" s="2"/>
      <c r="F173" s="37">
        <f t="shared" si="44"/>
        <v>0</v>
      </c>
      <c r="G173" s="2"/>
      <c r="H173" s="12">
        <f t="shared" si="45"/>
        <v>0</v>
      </c>
      <c r="I173" s="2"/>
      <c r="J173" s="12">
        <v>14256</v>
      </c>
      <c r="K173" s="2"/>
      <c r="L173" s="13">
        <f t="shared" si="46"/>
        <v>2.8497222422624629E-2</v>
      </c>
      <c r="M173" s="2"/>
      <c r="N173" s="12">
        <f t="shared" si="47"/>
        <v>395</v>
      </c>
      <c r="O173" s="2"/>
      <c r="P173" s="9">
        <v>13861</v>
      </c>
      <c r="R173" s="2"/>
    </row>
    <row r="174" spans="1:18" x14ac:dyDescent="0.25">
      <c r="A174" t="s">
        <v>110</v>
      </c>
      <c r="B174" t="s">
        <v>115</v>
      </c>
      <c r="C174" s="30" t="s">
        <v>116</v>
      </c>
      <c r="D174" s="12">
        <f>ROUNDUP((252369.49),0)</f>
        <v>252370</v>
      </c>
      <c r="E174" s="2"/>
      <c r="F174" s="37">
        <f t="shared" si="44"/>
        <v>7.7123346137430646E-2</v>
      </c>
      <c r="G174" s="2"/>
      <c r="H174" s="12">
        <f t="shared" si="45"/>
        <v>18070</v>
      </c>
      <c r="I174" s="2"/>
      <c r="J174" s="12">
        <v>234300</v>
      </c>
      <c r="K174" s="2"/>
      <c r="L174" s="13">
        <f t="shared" si="46"/>
        <v>6.1141304347826088E-2</v>
      </c>
      <c r="M174" s="2"/>
      <c r="N174" s="12">
        <f t="shared" si="47"/>
        <v>13500</v>
      </c>
      <c r="O174" s="2"/>
      <c r="P174" s="9">
        <v>220800</v>
      </c>
      <c r="Q174" s="21"/>
      <c r="R174" s="2"/>
    </row>
    <row r="175" spans="1:18" x14ac:dyDescent="0.25">
      <c r="A175" t="s">
        <v>110</v>
      </c>
      <c r="B175" t="s">
        <v>69</v>
      </c>
      <c r="C175" s="30" t="s">
        <v>70</v>
      </c>
      <c r="D175" s="12">
        <v>62000</v>
      </c>
      <c r="E175" s="2"/>
      <c r="F175" s="37">
        <f t="shared" si="44"/>
        <v>1.5833333333333333</v>
      </c>
      <c r="G175" s="2"/>
      <c r="H175" s="12">
        <f t="shared" si="45"/>
        <v>38000</v>
      </c>
      <c r="I175" s="2"/>
      <c r="J175" s="12">
        <v>24000</v>
      </c>
      <c r="K175" s="2"/>
      <c r="L175" s="13">
        <f t="shared" si="46"/>
        <v>0</v>
      </c>
      <c r="M175" s="2"/>
      <c r="N175" s="12">
        <f t="shared" si="47"/>
        <v>0</v>
      </c>
      <c r="O175" s="2"/>
      <c r="P175" s="9">
        <v>24000</v>
      </c>
      <c r="R175" s="2"/>
    </row>
    <row r="176" spans="1:18" x14ac:dyDescent="0.25">
      <c r="D176" s="2"/>
      <c r="E176" s="2"/>
      <c r="F176" s="2"/>
      <c r="G176" s="2"/>
      <c r="H176" s="2"/>
      <c r="I176" s="2"/>
      <c r="J176" s="2"/>
      <c r="K176" s="2"/>
      <c r="M176" s="2"/>
      <c r="O176" s="2"/>
      <c r="R176" s="2"/>
    </row>
    <row r="177" spans="1:18" x14ac:dyDescent="0.25">
      <c r="A177" t="s">
        <v>5</v>
      </c>
      <c r="B177" t="s">
        <v>5</v>
      </c>
      <c r="C177" s="1" t="s">
        <v>362</v>
      </c>
      <c r="D177" s="8">
        <f>SUM(D172:D175)</f>
        <v>359826</v>
      </c>
      <c r="E177" s="2"/>
      <c r="F177" s="15">
        <f>H177/J177</f>
        <v>0.20421276681191142</v>
      </c>
      <c r="G177" s="2"/>
      <c r="H177" s="8">
        <f>SUM(H172:H176)</f>
        <v>61020</v>
      </c>
      <c r="I177" s="2"/>
      <c r="J177" s="8">
        <f>SUM(J172:J175)</f>
        <v>298806</v>
      </c>
      <c r="K177" s="2"/>
      <c r="L177" s="15">
        <f>N177/P177</f>
        <v>6.8457882936841394E-2</v>
      </c>
      <c r="M177" s="2"/>
      <c r="N177" s="8">
        <f>SUM(N172:N175)</f>
        <v>19145</v>
      </c>
      <c r="O177" s="2"/>
      <c r="P177" s="8">
        <f>SUM(P172:P175)</f>
        <v>279661</v>
      </c>
      <c r="R177" s="2"/>
    </row>
    <row r="178" spans="1:18" x14ac:dyDescent="0.25">
      <c r="D178" s="2"/>
      <c r="E178" s="2"/>
      <c r="F178" s="2"/>
      <c r="G178" s="2"/>
      <c r="H178" s="2"/>
      <c r="I178" s="2"/>
      <c r="J178" s="2"/>
      <c r="K178" s="2"/>
      <c r="M178" s="2"/>
      <c r="O178" s="2"/>
      <c r="R178" s="2"/>
    </row>
    <row r="179" spans="1:18" x14ac:dyDescent="0.25">
      <c r="A179" s="20" t="s">
        <v>396</v>
      </c>
      <c r="B179" s="20" t="s">
        <v>397</v>
      </c>
      <c r="C179" t="s">
        <v>402</v>
      </c>
      <c r="D179" s="16">
        <v>4799493</v>
      </c>
      <c r="E179" s="2"/>
      <c r="F179" s="37">
        <f t="shared" ref="F179:F182" si="48">H179/J179</f>
        <v>8.6501442143459145E-2</v>
      </c>
      <c r="G179" s="2"/>
      <c r="H179" s="12">
        <f t="shared" ref="H179:H182" si="49">D179-J179</f>
        <v>382110</v>
      </c>
      <c r="I179" s="2"/>
      <c r="J179" s="12">
        <v>4417383</v>
      </c>
      <c r="K179" s="2"/>
      <c r="L179" s="13">
        <f t="shared" ref="L179:L182" si="50">N179/P179</f>
        <v>0</v>
      </c>
      <c r="M179" s="2"/>
      <c r="N179" s="12">
        <f>J179-P179</f>
        <v>0</v>
      </c>
      <c r="O179" s="2"/>
      <c r="P179" s="9">
        <v>4417383</v>
      </c>
      <c r="R179" s="2"/>
    </row>
    <row r="180" spans="1:18" x14ac:dyDescent="0.25">
      <c r="A180" s="20" t="s">
        <v>396</v>
      </c>
      <c r="B180" s="20" t="s">
        <v>398</v>
      </c>
      <c r="C180" t="s">
        <v>403</v>
      </c>
      <c r="D180" s="47">
        <v>2448583</v>
      </c>
      <c r="E180" s="2"/>
      <c r="F180" s="37">
        <f t="shared" si="48"/>
        <v>-0.14229593482720923</v>
      </c>
      <c r="G180" s="2"/>
      <c r="H180" s="12">
        <f t="shared" si="49"/>
        <v>-406228</v>
      </c>
      <c r="I180" s="2"/>
      <c r="J180" s="12">
        <v>2854811</v>
      </c>
      <c r="K180" s="2"/>
      <c r="L180" s="13">
        <f t="shared" si="50"/>
        <v>-1.0624619645755905E-2</v>
      </c>
      <c r="M180" s="2"/>
      <c r="N180" s="12">
        <f t="shared" ref="N180:N182" si="51">J180-P180</f>
        <v>-30657</v>
      </c>
      <c r="O180" s="2"/>
      <c r="P180" s="9">
        <v>2885468</v>
      </c>
      <c r="R180" s="2"/>
    </row>
    <row r="181" spans="1:18" x14ac:dyDescent="0.25">
      <c r="A181" s="20" t="s">
        <v>396</v>
      </c>
      <c r="B181" s="20" t="s">
        <v>399</v>
      </c>
      <c r="C181" t="s">
        <v>404</v>
      </c>
      <c r="D181" s="47">
        <v>430229</v>
      </c>
      <c r="E181" s="2"/>
      <c r="F181" s="37">
        <f t="shared" si="48"/>
        <v>-1.957750330431612E-2</v>
      </c>
      <c r="G181" s="2"/>
      <c r="H181" s="12">
        <f t="shared" si="49"/>
        <v>-8591</v>
      </c>
      <c r="I181" s="2"/>
      <c r="J181" s="12">
        <v>438820</v>
      </c>
      <c r="K181" s="2"/>
      <c r="L181" s="13">
        <f t="shared" si="50"/>
        <v>0</v>
      </c>
      <c r="M181" s="2"/>
      <c r="N181" s="12">
        <f t="shared" si="51"/>
        <v>0</v>
      </c>
      <c r="O181" s="2"/>
      <c r="P181" s="9">
        <v>438820</v>
      </c>
      <c r="R181" s="2"/>
    </row>
    <row r="182" spans="1:18" x14ac:dyDescent="0.25">
      <c r="A182" s="20" t="s">
        <v>396</v>
      </c>
      <c r="B182" s="20" t="s">
        <v>400</v>
      </c>
      <c r="C182" t="s">
        <v>405</v>
      </c>
      <c r="D182" s="47">
        <v>17418</v>
      </c>
      <c r="E182" s="2"/>
      <c r="F182" s="37">
        <f t="shared" si="48"/>
        <v>-0.20349368940918236</v>
      </c>
      <c r="G182" s="2"/>
      <c r="H182" s="12">
        <f t="shared" si="49"/>
        <v>-4450</v>
      </c>
      <c r="I182" s="2"/>
      <c r="J182" s="12">
        <v>21868</v>
      </c>
      <c r="K182" s="2"/>
      <c r="L182" s="13">
        <f t="shared" si="50"/>
        <v>0</v>
      </c>
      <c r="M182" s="2"/>
      <c r="N182" s="12">
        <f t="shared" si="51"/>
        <v>0</v>
      </c>
      <c r="O182" s="2"/>
      <c r="P182" s="9">
        <v>21868</v>
      </c>
      <c r="R182" s="2"/>
    </row>
    <row r="183" spans="1:18" x14ac:dyDescent="0.25">
      <c r="B183" s="20"/>
      <c r="D183" s="2"/>
      <c r="E183" s="2"/>
      <c r="F183" s="2"/>
      <c r="G183" s="2"/>
      <c r="H183" s="2"/>
      <c r="I183" s="2"/>
      <c r="J183" s="2"/>
      <c r="K183" s="2"/>
      <c r="M183" s="2"/>
      <c r="O183" s="2"/>
      <c r="R183" s="2"/>
    </row>
    <row r="184" spans="1:18" x14ac:dyDescent="0.25">
      <c r="B184" s="20"/>
      <c r="C184" s="1" t="s">
        <v>401</v>
      </c>
      <c r="D184" s="8">
        <f>SUM(D179:D182)</f>
        <v>7695723</v>
      </c>
      <c r="E184" s="2"/>
      <c r="F184" s="15">
        <f>H184/J184</f>
        <v>-4.8053235520728235E-3</v>
      </c>
      <c r="G184" s="2"/>
      <c r="H184" s="8">
        <f>SUM(H179:H182)</f>
        <v>-37159</v>
      </c>
      <c r="I184" s="2"/>
      <c r="J184" s="8">
        <f>SUM(J179:J182)</f>
        <v>7732882</v>
      </c>
      <c r="K184" s="2"/>
      <c r="L184" s="29">
        <f>SUM(L179:L182)</f>
        <v>-1.0624619645755905E-2</v>
      </c>
      <c r="M184" s="2"/>
      <c r="N184" s="8">
        <f>SUM(N179:N182)</f>
        <v>-30657</v>
      </c>
      <c r="O184" s="2"/>
      <c r="P184" s="8">
        <f>SUM(P179:P182)</f>
        <v>7763539</v>
      </c>
      <c r="R184" s="2"/>
    </row>
    <row r="185" spans="1:18" x14ac:dyDescent="0.25">
      <c r="D185" s="2"/>
      <c r="E185" s="2"/>
      <c r="F185" s="2"/>
      <c r="G185" s="2"/>
      <c r="H185" s="2"/>
      <c r="I185" s="2"/>
      <c r="J185" s="2"/>
      <c r="K185" s="2"/>
      <c r="M185" s="2"/>
      <c r="O185" s="2"/>
      <c r="R185" s="2"/>
    </row>
    <row r="186" spans="1:18" x14ac:dyDescent="0.25">
      <c r="A186" t="s">
        <v>117</v>
      </c>
      <c r="B186" t="s">
        <v>30</v>
      </c>
      <c r="C186" t="s">
        <v>79</v>
      </c>
      <c r="D186" s="12">
        <f>ROUNDUP((15782.88),0)</f>
        <v>15783</v>
      </c>
      <c r="E186" s="2"/>
      <c r="F186" s="37">
        <f t="shared" ref="F186:F200" si="52">H186/J186</f>
        <v>0</v>
      </c>
      <c r="G186" s="2"/>
      <c r="H186" s="12">
        <f t="shared" ref="H186:H200" si="53">D186-J186</f>
        <v>0</v>
      </c>
      <c r="I186" s="2"/>
      <c r="J186" s="12">
        <f>ROUNDUP((15782.88),0)</f>
        <v>15783</v>
      </c>
      <c r="K186" s="2"/>
      <c r="L186" s="13">
        <f t="shared" ref="L186:L200" si="54">N186/P186</f>
        <v>-2.0905707196029778E-2</v>
      </c>
      <c r="M186" s="2"/>
      <c r="N186" s="12">
        <f t="shared" ref="N186:N200" si="55">J186-P186</f>
        <v>-337</v>
      </c>
      <c r="O186" s="2"/>
      <c r="P186" s="12">
        <v>16120</v>
      </c>
      <c r="R186" s="2"/>
    </row>
    <row r="187" spans="1:18" x14ac:dyDescent="0.25">
      <c r="A187" t="s">
        <v>117</v>
      </c>
      <c r="B187" t="s">
        <v>34</v>
      </c>
      <c r="C187" t="s">
        <v>35</v>
      </c>
      <c r="D187" s="12">
        <f>ROUNDUP((58.8),0)</f>
        <v>59</v>
      </c>
      <c r="E187" s="2"/>
      <c r="F187" s="37">
        <f t="shared" si="52"/>
        <v>0</v>
      </c>
      <c r="G187" s="2"/>
      <c r="H187" s="12">
        <f t="shared" si="53"/>
        <v>0</v>
      </c>
      <c r="I187" s="2"/>
      <c r="J187" s="12">
        <f>ROUNDUP((58.8),0)</f>
        <v>59</v>
      </c>
      <c r="K187" s="2"/>
      <c r="L187" s="13">
        <f t="shared" si="54"/>
        <v>-0.21333333333333335</v>
      </c>
      <c r="M187" s="2"/>
      <c r="N187" s="12">
        <f t="shared" si="55"/>
        <v>-16</v>
      </c>
      <c r="O187" s="2"/>
      <c r="P187" s="12">
        <v>75</v>
      </c>
      <c r="R187" s="2"/>
    </row>
    <row r="188" spans="1:18" x14ac:dyDescent="0.25">
      <c r="A188" t="s">
        <v>117</v>
      </c>
      <c r="B188" t="s">
        <v>9</v>
      </c>
      <c r="C188" t="s">
        <v>10</v>
      </c>
      <c r="D188" s="12">
        <f>ROUNDUP((612.52),0)</f>
        <v>613</v>
      </c>
      <c r="E188" s="2"/>
      <c r="F188" s="37">
        <f t="shared" si="52"/>
        <v>0</v>
      </c>
      <c r="G188" s="2"/>
      <c r="H188" s="12">
        <f t="shared" si="53"/>
        <v>0</v>
      </c>
      <c r="I188" s="2"/>
      <c r="J188" s="12">
        <f>ROUNDUP((612.52),0)</f>
        <v>613</v>
      </c>
      <c r="K188" s="2"/>
      <c r="L188" s="13">
        <f t="shared" si="54"/>
        <v>0.16318785578747627</v>
      </c>
      <c r="M188" s="2"/>
      <c r="N188" s="12">
        <f t="shared" si="55"/>
        <v>86</v>
      </c>
      <c r="O188" s="2"/>
      <c r="P188" s="12">
        <v>527</v>
      </c>
      <c r="R188" s="2"/>
    </row>
    <row r="189" spans="1:18" x14ac:dyDescent="0.25">
      <c r="A189" t="s">
        <v>117</v>
      </c>
      <c r="B189" t="s">
        <v>11</v>
      </c>
      <c r="C189" t="s">
        <v>118</v>
      </c>
      <c r="D189" s="12">
        <f>ROUNDUP((1016.14),0)</f>
        <v>1017</v>
      </c>
      <c r="E189" s="2"/>
      <c r="F189" s="37">
        <f t="shared" si="52"/>
        <v>0</v>
      </c>
      <c r="G189" s="2"/>
      <c r="H189" s="12">
        <f t="shared" si="53"/>
        <v>0</v>
      </c>
      <c r="I189" s="2"/>
      <c r="J189" s="12">
        <f>ROUNDUP((1016.14),0)</f>
        <v>1017</v>
      </c>
      <c r="K189" s="2"/>
      <c r="L189" s="13">
        <f t="shared" si="54"/>
        <v>-0.17518248175182483</v>
      </c>
      <c r="M189" s="2"/>
      <c r="N189" s="12">
        <f t="shared" si="55"/>
        <v>-216</v>
      </c>
      <c r="O189" s="2"/>
      <c r="P189" s="12">
        <v>1233</v>
      </c>
      <c r="R189" s="2"/>
    </row>
    <row r="190" spans="1:18" x14ac:dyDescent="0.25">
      <c r="A190" t="s">
        <v>117</v>
      </c>
      <c r="B190" t="s">
        <v>15</v>
      </c>
      <c r="C190" t="s">
        <v>16</v>
      </c>
      <c r="D190" s="12">
        <v>6500</v>
      </c>
      <c r="E190" s="2"/>
      <c r="F190" s="37">
        <f t="shared" si="52"/>
        <v>0</v>
      </c>
      <c r="G190" s="2"/>
      <c r="H190" s="12">
        <f t="shared" si="53"/>
        <v>0</v>
      </c>
      <c r="I190" s="2"/>
      <c r="J190" s="12">
        <v>6500</v>
      </c>
      <c r="K190" s="2"/>
      <c r="L190" s="13">
        <f t="shared" si="54"/>
        <v>0</v>
      </c>
      <c r="M190" s="2"/>
      <c r="N190" s="12">
        <f t="shared" si="55"/>
        <v>0</v>
      </c>
      <c r="O190" s="2"/>
      <c r="P190" s="12">
        <v>6500</v>
      </c>
      <c r="R190" s="2"/>
    </row>
    <row r="191" spans="1:18" x14ac:dyDescent="0.25">
      <c r="A191" t="s">
        <v>117</v>
      </c>
      <c r="B191" t="s">
        <v>51</v>
      </c>
      <c r="C191" t="s">
        <v>52</v>
      </c>
      <c r="D191" s="12">
        <v>0</v>
      </c>
      <c r="E191" s="2"/>
      <c r="F191" s="37">
        <v>-1</v>
      </c>
      <c r="G191" s="2"/>
      <c r="H191" s="12">
        <f t="shared" si="53"/>
        <v>0</v>
      </c>
      <c r="I191" s="2"/>
      <c r="J191" s="12">
        <v>0</v>
      </c>
      <c r="K191" s="2"/>
      <c r="L191" s="13">
        <f t="shared" si="54"/>
        <v>-1</v>
      </c>
      <c r="M191" s="2"/>
      <c r="N191" s="12">
        <f t="shared" si="55"/>
        <v>-20000</v>
      </c>
      <c r="O191" s="2"/>
      <c r="P191" s="12">
        <v>20000</v>
      </c>
      <c r="R191" s="2"/>
    </row>
    <row r="192" spans="1:18" x14ac:dyDescent="0.25">
      <c r="A192" t="s">
        <v>117</v>
      </c>
      <c r="B192" t="s">
        <v>119</v>
      </c>
      <c r="C192" t="s">
        <v>120</v>
      </c>
      <c r="D192" s="12">
        <v>48000</v>
      </c>
      <c r="E192" s="2"/>
      <c r="F192" s="37">
        <f t="shared" si="52"/>
        <v>0</v>
      </c>
      <c r="G192" s="2"/>
      <c r="H192" s="12">
        <f t="shared" si="53"/>
        <v>0</v>
      </c>
      <c r="I192" s="2"/>
      <c r="J192" s="12">
        <v>48000</v>
      </c>
      <c r="K192" s="2"/>
      <c r="L192" s="13">
        <f t="shared" si="54"/>
        <v>0</v>
      </c>
      <c r="M192" s="2"/>
      <c r="N192" s="12">
        <f t="shared" si="55"/>
        <v>0</v>
      </c>
      <c r="O192" s="2"/>
      <c r="P192" s="12">
        <v>48000</v>
      </c>
      <c r="R192" s="2"/>
    </row>
    <row r="193" spans="1:18" x14ac:dyDescent="0.25">
      <c r="A193" t="s">
        <v>117</v>
      </c>
      <c r="B193" t="s">
        <v>121</v>
      </c>
      <c r="C193" t="s">
        <v>122</v>
      </c>
      <c r="D193" s="12">
        <v>2622</v>
      </c>
      <c r="E193" s="2"/>
      <c r="F193" s="37">
        <f t="shared" si="52"/>
        <v>0.14000000000000001</v>
      </c>
      <c r="G193" s="2"/>
      <c r="H193" s="12">
        <f t="shared" si="53"/>
        <v>322</v>
      </c>
      <c r="I193" s="2"/>
      <c r="J193" s="12">
        <v>2300</v>
      </c>
      <c r="K193" s="2"/>
      <c r="L193" s="13">
        <f t="shared" si="54"/>
        <v>0</v>
      </c>
      <c r="M193" s="2"/>
      <c r="N193" s="12">
        <f t="shared" si="55"/>
        <v>0</v>
      </c>
      <c r="O193" s="2"/>
      <c r="P193" s="12">
        <v>2300</v>
      </c>
      <c r="R193" s="2"/>
    </row>
    <row r="194" spans="1:18" x14ac:dyDescent="0.25">
      <c r="A194" t="s">
        <v>117</v>
      </c>
      <c r="B194" t="s">
        <v>123</v>
      </c>
      <c r="C194" t="s">
        <v>124</v>
      </c>
      <c r="D194" s="12">
        <v>10500</v>
      </c>
      <c r="E194" s="2"/>
      <c r="F194" s="37">
        <f t="shared" si="52"/>
        <v>0</v>
      </c>
      <c r="G194" s="2"/>
      <c r="H194" s="12">
        <f t="shared" si="53"/>
        <v>0</v>
      </c>
      <c r="I194" s="2"/>
      <c r="J194" s="12">
        <v>10500</v>
      </c>
      <c r="K194" s="2"/>
      <c r="L194" s="13">
        <f t="shared" si="54"/>
        <v>0</v>
      </c>
      <c r="M194" s="2"/>
      <c r="N194" s="12">
        <f t="shared" si="55"/>
        <v>0</v>
      </c>
      <c r="O194" s="2"/>
      <c r="P194" s="12">
        <v>10500</v>
      </c>
      <c r="R194" s="2"/>
    </row>
    <row r="195" spans="1:18" x14ac:dyDescent="0.25">
      <c r="A195" t="s">
        <v>117</v>
      </c>
      <c r="B195" t="s">
        <v>125</v>
      </c>
      <c r="C195" t="s">
        <v>126</v>
      </c>
      <c r="D195" s="12">
        <f>ROUNDUP((856.96),0)</f>
        <v>857</v>
      </c>
      <c r="E195" s="2"/>
      <c r="F195" s="37">
        <f t="shared" si="52"/>
        <v>4.0048543689320391E-2</v>
      </c>
      <c r="G195" s="2"/>
      <c r="H195" s="12">
        <f t="shared" si="53"/>
        <v>33</v>
      </c>
      <c r="I195" s="2"/>
      <c r="J195" s="12">
        <v>824</v>
      </c>
      <c r="K195" s="2"/>
      <c r="L195" s="13">
        <f t="shared" si="54"/>
        <v>0</v>
      </c>
      <c r="M195" s="2"/>
      <c r="N195" s="12">
        <f t="shared" si="55"/>
        <v>0</v>
      </c>
      <c r="O195" s="2"/>
      <c r="P195" s="12">
        <v>824</v>
      </c>
      <c r="Q195" t="s">
        <v>426</v>
      </c>
      <c r="R195" s="2"/>
    </row>
    <row r="196" spans="1:18" x14ac:dyDescent="0.25">
      <c r="A196" t="s">
        <v>117</v>
      </c>
      <c r="B196" t="s">
        <v>127</v>
      </c>
      <c r="C196" t="s">
        <v>128</v>
      </c>
      <c r="D196" s="12">
        <v>20000</v>
      </c>
      <c r="E196" s="2"/>
      <c r="F196" s="37">
        <f t="shared" si="52"/>
        <v>0.19760479041916168</v>
      </c>
      <c r="G196" s="2"/>
      <c r="H196" s="12">
        <f t="shared" si="53"/>
        <v>3300</v>
      </c>
      <c r="I196" s="2"/>
      <c r="J196" s="12">
        <v>16700</v>
      </c>
      <c r="K196" s="2"/>
      <c r="L196" s="13">
        <f t="shared" si="54"/>
        <v>0</v>
      </c>
      <c r="M196" s="2"/>
      <c r="N196" s="12">
        <f t="shared" si="55"/>
        <v>0</v>
      </c>
      <c r="O196" s="2"/>
      <c r="P196" s="12">
        <v>16700</v>
      </c>
      <c r="R196" s="2"/>
    </row>
    <row r="197" spans="1:18" x14ac:dyDescent="0.25">
      <c r="A197" t="s">
        <v>117</v>
      </c>
      <c r="B197" t="s">
        <v>129</v>
      </c>
      <c r="C197" t="s">
        <v>130</v>
      </c>
      <c r="D197" s="12">
        <v>37000</v>
      </c>
      <c r="E197" s="2"/>
      <c r="F197" s="37">
        <f t="shared" si="52"/>
        <v>8.8235294117647065E-2</v>
      </c>
      <c r="G197" s="2"/>
      <c r="H197" s="12">
        <f t="shared" si="53"/>
        <v>3000</v>
      </c>
      <c r="I197" s="2"/>
      <c r="J197" s="12">
        <v>34000</v>
      </c>
      <c r="K197" s="2"/>
      <c r="L197" s="13">
        <f t="shared" si="54"/>
        <v>0</v>
      </c>
      <c r="M197" s="2"/>
      <c r="N197" s="12">
        <f t="shared" si="55"/>
        <v>0</v>
      </c>
      <c r="O197" s="2"/>
      <c r="P197" s="12">
        <v>34000</v>
      </c>
      <c r="R197" s="2"/>
    </row>
    <row r="198" spans="1:18" x14ac:dyDescent="0.25">
      <c r="A198" t="s">
        <v>117</v>
      </c>
      <c r="B198" t="s">
        <v>131</v>
      </c>
      <c r="C198" s="30" t="s">
        <v>132</v>
      </c>
      <c r="D198" s="12">
        <f>70000+68141</f>
        <v>138141</v>
      </c>
      <c r="E198" s="2"/>
      <c r="F198" s="37">
        <f t="shared" si="52"/>
        <v>0.97344285714285717</v>
      </c>
      <c r="G198" s="2"/>
      <c r="H198" s="12">
        <f t="shared" si="53"/>
        <v>68141</v>
      </c>
      <c r="I198" s="2"/>
      <c r="J198" s="12">
        <v>70000</v>
      </c>
      <c r="K198" s="2"/>
      <c r="L198" s="13">
        <f t="shared" si="54"/>
        <v>0.55555555555555558</v>
      </c>
      <c r="M198" s="2"/>
      <c r="N198" s="12">
        <f t="shared" si="55"/>
        <v>25000</v>
      </c>
      <c r="O198" s="2"/>
      <c r="P198" s="12">
        <v>45000</v>
      </c>
      <c r="Q198" t="s">
        <v>433</v>
      </c>
      <c r="R198" s="2"/>
    </row>
    <row r="199" spans="1:18" x14ac:dyDescent="0.25">
      <c r="A199" t="s">
        <v>117</v>
      </c>
      <c r="B199" t="s">
        <v>69</v>
      </c>
      <c r="C199" s="30" t="s">
        <v>70</v>
      </c>
      <c r="D199" s="12">
        <v>45000</v>
      </c>
      <c r="E199" s="2"/>
      <c r="F199" s="37">
        <f t="shared" si="52"/>
        <v>0</v>
      </c>
      <c r="G199" s="2"/>
      <c r="H199" s="12">
        <f t="shared" si="53"/>
        <v>0</v>
      </c>
      <c r="I199" s="2"/>
      <c r="J199" s="12">
        <v>45000</v>
      </c>
      <c r="K199" s="2"/>
      <c r="L199" s="13">
        <f t="shared" si="54"/>
        <v>0.15666366790900912</v>
      </c>
      <c r="M199" s="2"/>
      <c r="N199" s="12">
        <f t="shared" si="55"/>
        <v>6095</v>
      </c>
      <c r="O199" s="2"/>
      <c r="P199" s="12">
        <v>38905</v>
      </c>
      <c r="Q199" t="s">
        <v>432</v>
      </c>
      <c r="R199" s="2"/>
    </row>
    <row r="200" spans="1:18" x14ac:dyDescent="0.25">
      <c r="A200" t="s">
        <v>117</v>
      </c>
      <c r="B200" t="s">
        <v>133</v>
      </c>
      <c r="C200" s="30" t="s">
        <v>134</v>
      </c>
      <c r="D200" s="12">
        <v>23000</v>
      </c>
      <c r="E200" s="2"/>
      <c r="F200" s="37">
        <f t="shared" si="52"/>
        <v>0</v>
      </c>
      <c r="G200" s="2"/>
      <c r="H200" s="12">
        <f t="shared" si="53"/>
        <v>0</v>
      </c>
      <c r="I200" s="2"/>
      <c r="J200" s="12">
        <v>23000</v>
      </c>
      <c r="K200" s="2"/>
      <c r="L200" s="13">
        <f t="shared" si="54"/>
        <v>0</v>
      </c>
      <c r="M200" s="2"/>
      <c r="N200" s="12">
        <f t="shared" si="55"/>
        <v>0</v>
      </c>
      <c r="O200" s="2"/>
      <c r="P200" s="12">
        <v>23000</v>
      </c>
      <c r="R200" s="2"/>
    </row>
    <row r="201" spans="1:18" x14ac:dyDescent="0.25">
      <c r="D201" s="2"/>
      <c r="E201" s="2"/>
      <c r="F201" s="2"/>
      <c r="G201" s="2"/>
      <c r="H201" s="2"/>
      <c r="I201" s="2"/>
      <c r="J201" s="2"/>
      <c r="K201" s="2"/>
      <c r="M201" s="2"/>
      <c r="O201" s="2"/>
      <c r="R201" s="2"/>
    </row>
    <row r="202" spans="1:18" x14ac:dyDescent="0.25">
      <c r="A202" t="s">
        <v>5</v>
      </c>
      <c r="B202" t="s">
        <v>5</v>
      </c>
      <c r="C202" s="1" t="s">
        <v>363</v>
      </c>
      <c r="D202" s="8">
        <f>SUM(D186:D200)</f>
        <v>349092</v>
      </c>
      <c r="E202" s="2"/>
      <c r="F202" s="15">
        <f>H202/J202</f>
        <v>0.27268352436783622</v>
      </c>
      <c r="G202" s="2"/>
      <c r="H202" s="8">
        <f>SUM(H186:H200)</f>
        <v>74796</v>
      </c>
      <c r="I202" s="2"/>
      <c r="J202" s="8">
        <f>SUM(J186:J200)</f>
        <v>274296</v>
      </c>
      <c r="K202" s="2"/>
      <c r="L202" s="15">
        <f>N202/P202</f>
        <v>4.0245141912288951E-2</v>
      </c>
      <c r="M202" s="2"/>
      <c r="N202" s="8">
        <f>SUM(N186:N200)</f>
        <v>10612</v>
      </c>
      <c r="O202" s="2"/>
      <c r="P202" s="8">
        <f>SUM(P186:P200)</f>
        <v>263684</v>
      </c>
      <c r="R202" s="2"/>
    </row>
    <row r="203" spans="1:18" x14ac:dyDescent="0.25">
      <c r="D203" s="2"/>
      <c r="E203" s="2"/>
      <c r="F203" s="2"/>
      <c r="G203" s="2"/>
      <c r="H203" s="2"/>
      <c r="I203" s="2"/>
      <c r="J203" s="2"/>
      <c r="K203" s="2"/>
      <c r="M203" s="2"/>
      <c r="O203" s="2"/>
      <c r="R203" s="2"/>
    </row>
    <row r="204" spans="1:18" x14ac:dyDescent="0.25">
      <c r="A204" t="s">
        <v>5</v>
      </c>
      <c r="B204" t="s">
        <v>5</v>
      </c>
      <c r="C204" s="1" t="s">
        <v>406</v>
      </c>
      <c r="D204" s="17">
        <f>D202+D177+D170+D156+D138+D119+D102+D84+D60+D55+D44+D34+D14</f>
        <v>2527807</v>
      </c>
      <c r="E204" s="2"/>
      <c r="F204" s="27">
        <f>H204/J204</f>
        <v>7.4243180818535509E-2</v>
      </c>
      <c r="G204" s="2"/>
      <c r="H204" s="17">
        <f>H202+H177+H170+H156+H138+H119+H102+H84+H60+H55+H44+H34+H14</f>
        <v>174702</v>
      </c>
      <c r="I204" s="2"/>
      <c r="J204" s="17">
        <f>J202+J177+J170+J156+J138+J119+J102+J84+J60+J55+J44+J34+J14</f>
        <v>2353105</v>
      </c>
      <c r="K204" s="2"/>
      <c r="L204" s="27">
        <f>N204/P204</f>
        <v>8.5317458487191244E-2</v>
      </c>
      <c r="M204" s="2"/>
      <c r="N204" s="17">
        <f>N202+N177+N170+N156+N138+N119+N102+N84+N60+N55+N44+N34+N14</f>
        <v>184979</v>
      </c>
      <c r="O204" s="2"/>
      <c r="P204" s="17">
        <f>P202+P177+P170+P156+P138+P119+P102+P84+P60+P55+P44+P34+P14</f>
        <v>2168126</v>
      </c>
      <c r="R204" s="2"/>
    </row>
    <row r="205" spans="1:18" x14ac:dyDescent="0.25">
      <c r="D205" s="2"/>
      <c r="E205" s="2"/>
      <c r="F205" s="2"/>
      <c r="G205" s="2"/>
      <c r="H205" s="2"/>
      <c r="I205" s="2"/>
      <c r="J205" s="2"/>
      <c r="K205" s="2"/>
      <c r="M205" s="2"/>
      <c r="O205" s="2"/>
      <c r="R205" s="2"/>
    </row>
    <row r="206" spans="1:18" x14ac:dyDescent="0.25">
      <c r="A206" t="s">
        <v>135</v>
      </c>
      <c r="B206" t="s">
        <v>57</v>
      </c>
      <c r="C206" t="s">
        <v>58</v>
      </c>
      <c r="D206" s="12">
        <f>ROUNDUP((5900.71),0)</f>
        <v>5901</v>
      </c>
      <c r="E206" s="2"/>
      <c r="F206" s="37">
        <f t="shared" ref="F206:F210" si="56">H206/J206</f>
        <v>0</v>
      </c>
      <c r="G206" s="2"/>
      <c r="H206" s="12">
        <f t="shared" ref="H206:H210" si="57">D206-J206</f>
        <v>0</v>
      </c>
      <c r="I206" s="2"/>
      <c r="J206" s="12">
        <f>ROUNDUP((5900.71),0)</f>
        <v>5901</v>
      </c>
      <c r="K206" s="2"/>
      <c r="L206" s="13">
        <f t="shared" ref="L206:L210" si="58">N206/P206</f>
        <v>3.0022691569209285E-2</v>
      </c>
      <c r="M206" s="2"/>
      <c r="N206" s="12">
        <f t="shared" ref="N206:N210" si="59">J206-P206</f>
        <v>172</v>
      </c>
      <c r="O206" s="2"/>
      <c r="P206" s="12">
        <v>5729</v>
      </c>
      <c r="R206" s="2"/>
    </row>
    <row r="207" spans="1:18" x14ac:dyDescent="0.25">
      <c r="A207" t="s">
        <v>135</v>
      </c>
      <c r="B207" t="s">
        <v>9</v>
      </c>
      <c r="C207" t="s">
        <v>10</v>
      </c>
      <c r="D207" s="12">
        <f>ROUNDUP((197.38),0)</f>
        <v>198</v>
      </c>
      <c r="E207" s="2"/>
      <c r="F207" s="37">
        <f t="shared" si="56"/>
        <v>0</v>
      </c>
      <c r="G207" s="2"/>
      <c r="H207" s="12">
        <f t="shared" si="57"/>
        <v>0</v>
      </c>
      <c r="I207" s="2"/>
      <c r="J207" s="12">
        <f>ROUNDUP((197.38),0)</f>
        <v>198</v>
      </c>
      <c r="K207" s="2"/>
      <c r="L207" s="13">
        <f t="shared" si="58"/>
        <v>7.0270270270270274E-2</v>
      </c>
      <c r="M207" s="2"/>
      <c r="N207" s="12">
        <f t="shared" si="59"/>
        <v>13</v>
      </c>
      <c r="O207" s="2"/>
      <c r="P207" s="12">
        <v>185</v>
      </c>
      <c r="R207" s="2"/>
    </row>
    <row r="208" spans="1:18" x14ac:dyDescent="0.25">
      <c r="A208" t="s">
        <v>135</v>
      </c>
      <c r="B208" t="s">
        <v>36</v>
      </c>
      <c r="C208" t="s">
        <v>37</v>
      </c>
      <c r="D208" s="12">
        <f>ROUNDUP((601.87),0)</f>
        <v>602</v>
      </c>
      <c r="E208" s="2"/>
      <c r="F208" s="37">
        <f t="shared" si="56"/>
        <v>0</v>
      </c>
      <c r="G208" s="2"/>
      <c r="H208" s="12">
        <f t="shared" si="57"/>
        <v>0</v>
      </c>
      <c r="I208" s="2"/>
      <c r="J208" s="12">
        <f>ROUNDUP((601.87),0)</f>
        <v>602</v>
      </c>
      <c r="K208" s="2"/>
      <c r="L208" s="13">
        <f t="shared" si="58"/>
        <v>3.0821917808219176E-2</v>
      </c>
      <c r="M208" s="2"/>
      <c r="N208" s="12">
        <f t="shared" si="59"/>
        <v>18</v>
      </c>
      <c r="O208" s="2"/>
      <c r="P208" s="12">
        <v>584</v>
      </c>
      <c r="R208" s="2"/>
    </row>
    <row r="209" spans="1:18" x14ac:dyDescent="0.25">
      <c r="A209" t="s">
        <v>135</v>
      </c>
      <c r="B209" t="s">
        <v>11</v>
      </c>
      <c r="C209" t="s">
        <v>12</v>
      </c>
      <c r="D209" s="12">
        <f>ROUNDUP((451.4),0)</f>
        <v>452</v>
      </c>
      <c r="E209" s="2"/>
      <c r="F209" s="37">
        <f t="shared" si="56"/>
        <v>0</v>
      </c>
      <c r="G209" s="2"/>
      <c r="H209" s="12">
        <f t="shared" si="57"/>
        <v>0</v>
      </c>
      <c r="I209" s="2"/>
      <c r="J209" s="12">
        <f>ROUNDUP((451.4),0)</f>
        <v>452</v>
      </c>
      <c r="K209" s="2"/>
      <c r="L209" s="13">
        <f t="shared" si="58"/>
        <v>3.1963470319634701E-2</v>
      </c>
      <c r="M209" s="2"/>
      <c r="N209" s="12">
        <f t="shared" si="59"/>
        <v>14</v>
      </c>
      <c r="O209" s="2"/>
      <c r="P209" s="12">
        <v>438</v>
      </c>
      <c r="R209" s="2"/>
    </row>
    <row r="210" spans="1:18" x14ac:dyDescent="0.25">
      <c r="A210" t="s">
        <v>135</v>
      </c>
      <c r="B210" t="s">
        <v>13</v>
      </c>
      <c r="C210" t="s">
        <v>14</v>
      </c>
      <c r="D210" s="12">
        <v>50</v>
      </c>
      <c r="E210" s="2"/>
      <c r="F210" s="37">
        <f t="shared" si="56"/>
        <v>0</v>
      </c>
      <c r="G210" s="2"/>
      <c r="H210" s="12">
        <f t="shared" si="57"/>
        <v>0</v>
      </c>
      <c r="I210" s="2"/>
      <c r="J210" s="12">
        <v>50</v>
      </c>
      <c r="K210" s="2"/>
      <c r="L210" s="13">
        <f t="shared" si="58"/>
        <v>0</v>
      </c>
      <c r="M210" s="2"/>
      <c r="N210" s="12">
        <f t="shared" si="59"/>
        <v>0</v>
      </c>
      <c r="O210" s="2"/>
      <c r="P210" s="12">
        <v>50</v>
      </c>
      <c r="R210" s="2"/>
    </row>
    <row r="211" spans="1:18" x14ac:dyDescent="0.25">
      <c r="D211" s="22"/>
      <c r="E211" s="2"/>
      <c r="F211" s="22"/>
      <c r="G211" s="2"/>
      <c r="H211" s="22"/>
      <c r="I211" s="2"/>
      <c r="J211" s="2"/>
      <c r="K211" s="2"/>
      <c r="M211" s="2"/>
      <c r="O211" s="2"/>
      <c r="R211" s="2"/>
    </row>
    <row r="212" spans="1:18" x14ac:dyDescent="0.25">
      <c r="A212" t="s">
        <v>5</v>
      </c>
      <c r="B212" t="s">
        <v>5</v>
      </c>
      <c r="C212" s="1" t="s">
        <v>364</v>
      </c>
      <c r="D212" s="8">
        <f>SUM(D206:D210)</f>
        <v>7203</v>
      </c>
      <c r="E212" s="2"/>
      <c r="F212" s="15">
        <f>H212/J212</f>
        <v>0</v>
      </c>
      <c r="G212" s="2"/>
      <c r="H212" s="8">
        <f>SUM(H206:H210)</f>
        <v>0</v>
      </c>
      <c r="I212" s="2"/>
      <c r="J212" s="8">
        <f>SUM(J206:J210)</f>
        <v>7203</v>
      </c>
      <c r="K212" s="2"/>
      <c r="L212" s="15">
        <f>N212/P212</f>
        <v>3.1062124248496994E-2</v>
      </c>
      <c r="M212" s="2"/>
      <c r="N212" s="8">
        <f>SUM(N206:N210)</f>
        <v>217</v>
      </c>
      <c r="O212" s="2"/>
      <c r="P212" s="8">
        <f>SUM(P206:P210)</f>
        <v>6986</v>
      </c>
      <c r="R212" s="2"/>
    </row>
    <row r="213" spans="1:18" x14ac:dyDescent="0.25">
      <c r="D213" s="2"/>
      <c r="E213" s="2"/>
      <c r="F213" s="2"/>
      <c r="G213" s="2"/>
      <c r="H213" s="2"/>
      <c r="I213" s="2"/>
      <c r="J213" s="2"/>
      <c r="K213" s="2"/>
      <c r="M213" s="2"/>
      <c r="O213" s="2"/>
      <c r="R213" s="2"/>
    </row>
    <row r="214" spans="1:18" x14ac:dyDescent="0.25">
      <c r="A214" t="s">
        <v>136</v>
      </c>
      <c r="B214" t="s">
        <v>61</v>
      </c>
      <c r="C214" t="s">
        <v>62</v>
      </c>
      <c r="D214" s="47">
        <v>2500</v>
      </c>
      <c r="E214" s="2"/>
      <c r="F214" s="37">
        <f t="shared" ref="F214:F222" si="60">H214/J214</f>
        <v>0</v>
      </c>
      <c r="G214" s="2"/>
      <c r="H214" s="12">
        <f t="shared" ref="H214:H222" si="61">D214-J214</f>
        <v>0</v>
      </c>
      <c r="I214" s="2"/>
      <c r="J214" s="16">
        <v>2500</v>
      </c>
      <c r="K214" s="2"/>
      <c r="L214" s="13">
        <f t="shared" ref="L214:L222" si="62">N214/P214</f>
        <v>0</v>
      </c>
      <c r="M214" s="2"/>
      <c r="N214" s="12">
        <f t="shared" ref="N214:N222" si="63">J214-P214</f>
        <v>0</v>
      </c>
      <c r="O214" s="2"/>
      <c r="P214" s="12">
        <v>2500</v>
      </c>
      <c r="R214" s="2"/>
    </row>
    <row r="215" spans="1:18" x14ac:dyDescent="0.25">
      <c r="A215" t="s">
        <v>136</v>
      </c>
      <c r="B215" t="s">
        <v>9</v>
      </c>
      <c r="C215" t="s">
        <v>10</v>
      </c>
      <c r="D215" s="47">
        <f>ROUNDUP((11.7),0)</f>
        <v>12</v>
      </c>
      <c r="E215" s="2"/>
      <c r="F215" s="37">
        <f t="shared" si="60"/>
        <v>0</v>
      </c>
      <c r="G215" s="2"/>
      <c r="H215" s="12">
        <f t="shared" si="61"/>
        <v>0</v>
      </c>
      <c r="I215" s="2"/>
      <c r="J215" s="16">
        <f>ROUNDUP((11.7),0)</f>
        <v>12</v>
      </c>
      <c r="K215" s="2"/>
      <c r="L215" s="13">
        <f t="shared" si="62"/>
        <v>-0.14285714285714285</v>
      </c>
      <c r="M215" s="2"/>
      <c r="N215" s="12">
        <f t="shared" si="63"/>
        <v>-2</v>
      </c>
      <c r="O215" s="2"/>
      <c r="P215" s="12">
        <v>14</v>
      </c>
      <c r="R215" s="2"/>
    </row>
    <row r="216" spans="1:18" x14ac:dyDescent="0.25">
      <c r="A216" t="s">
        <v>136</v>
      </c>
      <c r="B216" t="s">
        <v>36</v>
      </c>
      <c r="C216" t="s">
        <v>37</v>
      </c>
      <c r="D216" s="47">
        <f>ROUNDUP((255),0)</f>
        <v>255</v>
      </c>
      <c r="E216" s="2"/>
      <c r="F216" s="37">
        <f t="shared" si="60"/>
        <v>0</v>
      </c>
      <c r="G216" s="2"/>
      <c r="H216" s="12">
        <f t="shared" si="61"/>
        <v>0</v>
      </c>
      <c r="I216" s="2"/>
      <c r="J216" s="16">
        <f>ROUNDUP((255),0)</f>
        <v>255</v>
      </c>
      <c r="K216" s="2"/>
      <c r="L216" s="13">
        <f t="shared" si="62"/>
        <v>0</v>
      </c>
      <c r="M216" s="2"/>
      <c r="N216" s="12">
        <f t="shared" si="63"/>
        <v>0</v>
      </c>
      <c r="O216" s="2"/>
      <c r="P216" s="12">
        <v>255</v>
      </c>
      <c r="R216" s="2"/>
    </row>
    <row r="217" spans="1:18" x14ac:dyDescent="0.25">
      <c r="A217" t="s">
        <v>136</v>
      </c>
      <c r="B217" t="s">
        <v>11</v>
      </c>
      <c r="C217" t="s">
        <v>12</v>
      </c>
      <c r="D217" s="47">
        <f>ROUNDUP((191.25),0)</f>
        <v>192</v>
      </c>
      <c r="E217" s="2"/>
      <c r="F217" s="37">
        <f t="shared" si="60"/>
        <v>0</v>
      </c>
      <c r="G217" s="2"/>
      <c r="H217" s="12">
        <f t="shared" si="61"/>
        <v>0</v>
      </c>
      <c r="I217" s="2"/>
      <c r="J217" s="16">
        <f>ROUNDUP((191.25),0)</f>
        <v>192</v>
      </c>
      <c r="K217" s="2"/>
      <c r="L217" s="13">
        <f t="shared" si="62"/>
        <v>0</v>
      </c>
      <c r="M217" s="2"/>
      <c r="N217" s="12">
        <f t="shared" si="63"/>
        <v>0</v>
      </c>
      <c r="O217" s="2"/>
      <c r="P217" s="12">
        <v>192</v>
      </c>
      <c r="R217" s="2"/>
    </row>
    <row r="218" spans="1:18" x14ac:dyDescent="0.25">
      <c r="A218" t="s">
        <v>136</v>
      </c>
      <c r="B218" t="s">
        <v>13</v>
      </c>
      <c r="C218" t="s">
        <v>14</v>
      </c>
      <c r="D218" s="47">
        <v>800</v>
      </c>
      <c r="E218" s="2"/>
      <c r="F218" s="37">
        <f t="shared" si="60"/>
        <v>0</v>
      </c>
      <c r="G218" s="2"/>
      <c r="H218" s="12">
        <f t="shared" si="61"/>
        <v>0</v>
      </c>
      <c r="I218" s="2"/>
      <c r="J218" s="16">
        <v>800</v>
      </c>
      <c r="K218" s="2"/>
      <c r="L218" s="13">
        <f t="shared" si="62"/>
        <v>0</v>
      </c>
      <c r="M218" s="2"/>
      <c r="N218" s="12">
        <f t="shared" si="63"/>
        <v>0</v>
      </c>
      <c r="O218" s="2"/>
      <c r="P218" s="12">
        <v>800</v>
      </c>
      <c r="R218" s="2"/>
    </row>
    <row r="219" spans="1:18" x14ac:dyDescent="0.25">
      <c r="A219" t="s">
        <v>136</v>
      </c>
      <c r="B219" t="s">
        <v>19</v>
      </c>
      <c r="C219" t="s">
        <v>20</v>
      </c>
      <c r="D219" s="47">
        <v>100</v>
      </c>
      <c r="E219" s="2"/>
      <c r="F219" s="37">
        <f t="shared" si="60"/>
        <v>0</v>
      </c>
      <c r="G219" s="2"/>
      <c r="H219" s="12">
        <f t="shared" si="61"/>
        <v>0</v>
      </c>
      <c r="I219" s="2"/>
      <c r="J219" s="16">
        <v>100</v>
      </c>
      <c r="K219" s="2"/>
      <c r="L219" s="13">
        <f t="shared" si="62"/>
        <v>0</v>
      </c>
      <c r="M219" s="2"/>
      <c r="N219" s="12">
        <f t="shared" si="63"/>
        <v>0</v>
      </c>
      <c r="O219" s="2"/>
      <c r="P219" s="12">
        <v>100</v>
      </c>
      <c r="R219" s="2"/>
    </row>
    <row r="220" spans="1:18" x14ac:dyDescent="0.25">
      <c r="A220" t="s">
        <v>136</v>
      </c>
      <c r="B220" t="s">
        <v>40</v>
      </c>
      <c r="C220" t="s">
        <v>137</v>
      </c>
      <c r="D220" s="47">
        <v>365</v>
      </c>
      <c r="E220" s="2"/>
      <c r="F220" s="37">
        <f t="shared" si="60"/>
        <v>0</v>
      </c>
      <c r="G220" s="2"/>
      <c r="H220" s="12">
        <f t="shared" si="61"/>
        <v>0</v>
      </c>
      <c r="I220" s="2"/>
      <c r="J220" s="16">
        <v>365</v>
      </c>
      <c r="K220" s="2"/>
      <c r="L220" s="13">
        <f t="shared" si="62"/>
        <v>0</v>
      </c>
      <c r="M220" s="2"/>
      <c r="N220" s="12">
        <f t="shared" si="63"/>
        <v>0</v>
      </c>
      <c r="O220" s="2"/>
      <c r="P220" s="12">
        <v>365</v>
      </c>
      <c r="R220" s="2"/>
    </row>
    <row r="221" spans="1:18" x14ac:dyDescent="0.25">
      <c r="A221" t="s">
        <v>136</v>
      </c>
      <c r="B221" t="s">
        <v>23</v>
      </c>
      <c r="C221" t="s">
        <v>24</v>
      </c>
      <c r="D221" s="47">
        <v>800</v>
      </c>
      <c r="E221" s="2"/>
      <c r="F221" s="37">
        <f t="shared" si="60"/>
        <v>0</v>
      </c>
      <c r="G221" s="2"/>
      <c r="H221" s="12">
        <f t="shared" si="61"/>
        <v>0</v>
      </c>
      <c r="I221" s="2"/>
      <c r="J221" s="16">
        <v>800</v>
      </c>
      <c r="K221" s="2"/>
      <c r="L221" s="13">
        <f t="shared" si="62"/>
        <v>0</v>
      </c>
      <c r="M221" s="2"/>
      <c r="N221" s="12">
        <f t="shared" si="63"/>
        <v>0</v>
      </c>
      <c r="O221" s="2"/>
      <c r="P221" s="12">
        <v>800</v>
      </c>
      <c r="R221" s="2"/>
    </row>
    <row r="222" spans="1:18" x14ac:dyDescent="0.25">
      <c r="A222" t="s">
        <v>136</v>
      </c>
      <c r="B222" t="s">
        <v>138</v>
      </c>
      <c r="C222" t="s">
        <v>139</v>
      </c>
      <c r="D222" s="47">
        <v>40500</v>
      </c>
      <c r="E222" s="2"/>
      <c r="F222" s="37">
        <f t="shared" si="60"/>
        <v>0</v>
      </c>
      <c r="G222" s="2"/>
      <c r="H222" s="12">
        <f t="shared" si="61"/>
        <v>0</v>
      </c>
      <c r="I222" s="2"/>
      <c r="J222" s="16">
        <v>40500</v>
      </c>
      <c r="K222" s="2"/>
      <c r="L222" s="13">
        <f t="shared" si="62"/>
        <v>0.35</v>
      </c>
      <c r="M222" s="2"/>
      <c r="N222" s="12">
        <f t="shared" si="63"/>
        <v>10500</v>
      </c>
      <c r="O222" s="2"/>
      <c r="P222" s="12">
        <v>30000</v>
      </c>
      <c r="Q222" t="s">
        <v>427</v>
      </c>
      <c r="R222" s="2"/>
    </row>
    <row r="223" spans="1:18" ht="120" x14ac:dyDescent="0.25">
      <c r="A223" s="1" t="s">
        <v>0</v>
      </c>
      <c r="B223" s="1" t="s">
        <v>1</v>
      </c>
      <c r="C223" s="1" t="s">
        <v>2</v>
      </c>
      <c r="D223" s="5" t="s">
        <v>337</v>
      </c>
      <c r="E223" s="1"/>
      <c r="F223" s="5" t="s">
        <v>409</v>
      </c>
      <c r="G223" s="1"/>
      <c r="H223" s="5" t="s">
        <v>410</v>
      </c>
      <c r="I223" s="1"/>
      <c r="J223" s="5" t="s">
        <v>336</v>
      </c>
      <c r="K223" s="1"/>
      <c r="L223" s="4" t="s">
        <v>344</v>
      </c>
      <c r="M223" s="1"/>
      <c r="N223" s="4" t="s">
        <v>342</v>
      </c>
      <c r="O223" s="1"/>
      <c r="P223" s="4" t="s">
        <v>335</v>
      </c>
      <c r="R223" s="1"/>
    </row>
    <row r="224" spans="1:18" x14ac:dyDescent="0.25">
      <c r="D224" s="2"/>
      <c r="E224" s="2"/>
      <c r="F224" s="2"/>
      <c r="G224" s="2"/>
      <c r="H224" s="2"/>
      <c r="I224" s="2"/>
      <c r="J224" s="2"/>
      <c r="K224" s="2"/>
      <c r="M224" s="2"/>
      <c r="O224" s="2"/>
      <c r="R224" s="2"/>
    </row>
    <row r="225" spans="1:18" x14ac:dyDescent="0.25">
      <c r="A225" t="s">
        <v>5</v>
      </c>
      <c r="B225" t="s">
        <v>5</v>
      </c>
      <c r="C225" s="1" t="s">
        <v>365</v>
      </c>
      <c r="D225" s="8">
        <f>SUM(D214:D222)</f>
        <v>45524</v>
      </c>
      <c r="E225" s="2"/>
      <c r="F225" s="15">
        <f>H225/J225</f>
        <v>0</v>
      </c>
      <c r="G225" s="2"/>
      <c r="H225" s="8">
        <f>SUM(H214:H222)</f>
        <v>0</v>
      </c>
      <c r="I225" s="2"/>
      <c r="J225" s="8">
        <f>SUM(J214:J222)</f>
        <v>45524</v>
      </c>
      <c r="K225" s="2"/>
      <c r="L225" s="15">
        <f>N225/P225</f>
        <v>0.29972020784560038</v>
      </c>
      <c r="M225" s="2"/>
      <c r="N225" s="8">
        <f>SUM(N214:N222)</f>
        <v>10498</v>
      </c>
      <c r="O225" s="2"/>
      <c r="P225" s="8">
        <f>SUM(P214:P222)</f>
        <v>35026</v>
      </c>
      <c r="R225" s="2"/>
    </row>
    <row r="226" spans="1:18" x14ac:dyDescent="0.25">
      <c r="D226" s="2"/>
      <c r="E226" s="2"/>
      <c r="F226" s="2"/>
      <c r="G226" s="2"/>
      <c r="H226" s="2"/>
      <c r="I226" s="2"/>
      <c r="J226" s="2"/>
      <c r="K226" s="2"/>
      <c r="M226" s="2"/>
      <c r="O226" s="2"/>
      <c r="R226" s="2"/>
    </row>
    <row r="227" spans="1:18" x14ac:dyDescent="0.25">
      <c r="A227" t="s">
        <v>140</v>
      </c>
      <c r="B227" t="s">
        <v>57</v>
      </c>
      <c r="C227" t="s">
        <v>58</v>
      </c>
      <c r="D227" s="47">
        <f>ROUNDUP((98143.34),0)</f>
        <v>98144</v>
      </c>
      <c r="E227" s="2"/>
      <c r="F227" s="37">
        <f t="shared" ref="F227:F262" si="64">H227/J227</f>
        <v>0</v>
      </c>
      <c r="G227" s="2"/>
      <c r="H227" s="12">
        <f t="shared" ref="H227:H262" si="65">D227-J227</f>
        <v>0</v>
      </c>
      <c r="I227" s="2"/>
      <c r="J227" s="16">
        <f>ROUNDUP((98143.34),0)</f>
        <v>98144</v>
      </c>
      <c r="K227" s="2"/>
      <c r="L227" s="13">
        <f t="shared" ref="L227:L262" si="66">N227/P227</f>
        <v>3.0004722674083013E-2</v>
      </c>
      <c r="M227" s="2"/>
      <c r="N227" s="12">
        <f t="shared" ref="N227:N262" si="67">J227-P227</f>
        <v>2859</v>
      </c>
      <c r="O227" s="2"/>
      <c r="P227" s="12">
        <v>95285</v>
      </c>
      <c r="Q227" t="s">
        <v>355</v>
      </c>
      <c r="R227" s="2"/>
    </row>
    <row r="228" spans="1:18" x14ac:dyDescent="0.25">
      <c r="A228" t="s">
        <v>140</v>
      </c>
      <c r="B228" t="s">
        <v>30</v>
      </c>
      <c r="C228" t="s">
        <v>31</v>
      </c>
      <c r="D228" s="47">
        <f>ROUNDUP((1098056.83),0)</f>
        <v>1098057</v>
      </c>
      <c r="E228" s="2"/>
      <c r="F228" s="37">
        <f t="shared" si="64"/>
        <v>0</v>
      </c>
      <c r="G228" s="2"/>
      <c r="H228" s="12">
        <f t="shared" si="65"/>
        <v>0</v>
      </c>
      <c r="I228" s="2"/>
      <c r="J228" s="16">
        <f>ROUNDUP((1098056.83),0)</f>
        <v>1098057</v>
      </c>
      <c r="K228" s="2"/>
      <c r="L228" s="13">
        <f t="shared" si="66"/>
        <v>0.10811312662411383</v>
      </c>
      <c r="M228" s="2"/>
      <c r="N228" s="12">
        <f t="shared" si="67"/>
        <v>107132</v>
      </c>
      <c r="O228" s="2"/>
      <c r="P228" s="12">
        <v>990925</v>
      </c>
      <c r="Q228" t="s">
        <v>355</v>
      </c>
      <c r="R228" s="2"/>
    </row>
    <row r="229" spans="1:18" x14ac:dyDescent="0.25">
      <c r="A229" t="s">
        <v>140</v>
      </c>
      <c r="B229" t="s">
        <v>32</v>
      </c>
      <c r="C229" t="s">
        <v>33</v>
      </c>
      <c r="D229" s="47">
        <f>ROUNDUP((53602.85),0)</f>
        <v>53603</v>
      </c>
      <c r="E229" s="2"/>
      <c r="F229" s="37">
        <f t="shared" si="64"/>
        <v>0</v>
      </c>
      <c r="G229" s="2"/>
      <c r="H229" s="12">
        <f t="shared" si="65"/>
        <v>0</v>
      </c>
      <c r="I229" s="2"/>
      <c r="J229" s="16">
        <f>ROUNDUP((53602.85),0)</f>
        <v>53603</v>
      </c>
      <c r="K229" s="2"/>
      <c r="L229" s="13">
        <f t="shared" si="66"/>
        <v>2.9995004035202336E-2</v>
      </c>
      <c r="M229" s="2"/>
      <c r="N229" s="12">
        <f t="shared" si="67"/>
        <v>1561</v>
      </c>
      <c r="O229" s="2"/>
      <c r="P229" s="12">
        <v>52042</v>
      </c>
      <c r="Q229" t="s">
        <v>355</v>
      </c>
      <c r="R229" s="2"/>
    </row>
    <row r="230" spans="1:18" x14ac:dyDescent="0.25">
      <c r="A230" t="s">
        <v>140</v>
      </c>
      <c r="B230" t="s">
        <v>141</v>
      </c>
      <c r="C230" t="s">
        <v>142</v>
      </c>
      <c r="D230" s="47">
        <v>17000</v>
      </c>
      <c r="E230" s="2"/>
      <c r="F230" s="37">
        <f t="shared" si="64"/>
        <v>0</v>
      </c>
      <c r="G230" s="2"/>
      <c r="H230" s="12">
        <f t="shared" si="65"/>
        <v>0</v>
      </c>
      <c r="I230" s="2"/>
      <c r="J230" s="16">
        <v>17000</v>
      </c>
      <c r="K230" s="2"/>
      <c r="L230" s="13">
        <f t="shared" si="66"/>
        <v>0</v>
      </c>
      <c r="M230" s="2"/>
      <c r="N230" s="12">
        <f t="shared" si="67"/>
        <v>0</v>
      </c>
      <c r="O230" s="2"/>
      <c r="P230" s="12">
        <v>17000</v>
      </c>
      <c r="R230" s="2"/>
    </row>
    <row r="231" spans="1:18" x14ac:dyDescent="0.25">
      <c r="A231" t="s">
        <v>140</v>
      </c>
      <c r="B231" t="s">
        <v>143</v>
      </c>
      <c r="C231" t="s">
        <v>144</v>
      </c>
      <c r="D231" s="47">
        <v>10000</v>
      </c>
      <c r="E231" s="2"/>
      <c r="F231" s="37">
        <f t="shared" si="64"/>
        <v>0</v>
      </c>
      <c r="G231" s="2"/>
      <c r="H231" s="12">
        <f t="shared" si="65"/>
        <v>0</v>
      </c>
      <c r="I231" s="2"/>
      <c r="J231" s="16">
        <v>10000</v>
      </c>
      <c r="K231" s="2"/>
      <c r="L231" s="13">
        <f t="shared" si="66"/>
        <v>0.42857142857142855</v>
      </c>
      <c r="M231" s="2"/>
      <c r="N231" s="12">
        <f t="shared" si="67"/>
        <v>3000</v>
      </c>
      <c r="O231" s="2"/>
      <c r="P231" s="12">
        <v>7000</v>
      </c>
      <c r="R231" s="2"/>
    </row>
    <row r="232" spans="1:18" x14ac:dyDescent="0.25">
      <c r="A232" t="s">
        <v>140</v>
      </c>
      <c r="B232" t="s">
        <v>59</v>
      </c>
      <c r="C232" t="s">
        <v>60</v>
      </c>
      <c r="D232" s="47">
        <v>34994</v>
      </c>
      <c r="E232" s="2"/>
      <c r="F232" s="37">
        <f t="shared" si="64"/>
        <v>0</v>
      </c>
      <c r="G232" s="2"/>
      <c r="H232" s="12">
        <f t="shared" si="65"/>
        <v>0</v>
      </c>
      <c r="I232" s="2"/>
      <c r="J232" s="16">
        <v>34994</v>
      </c>
      <c r="K232" s="2"/>
      <c r="L232" s="13">
        <f t="shared" si="66"/>
        <v>0</v>
      </c>
      <c r="M232" s="2"/>
      <c r="N232" s="12">
        <f t="shared" si="67"/>
        <v>0</v>
      </c>
      <c r="O232" s="2"/>
      <c r="P232" s="12">
        <v>34994</v>
      </c>
      <c r="R232" s="2"/>
    </row>
    <row r="233" spans="1:18" x14ac:dyDescent="0.25">
      <c r="A233" t="s">
        <v>140</v>
      </c>
      <c r="B233" t="s">
        <v>61</v>
      </c>
      <c r="C233" t="s">
        <v>62</v>
      </c>
      <c r="D233" s="47">
        <v>47704</v>
      </c>
      <c r="E233" s="2"/>
      <c r="F233" s="37">
        <f t="shared" si="64"/>
        <v>0</v>
      </c>
      <c r="G233" s="2"/>
      <c r="H233" s="12">
        <f t="shared" si="65"/>
        <v>0</v>
      </c>
      <c r="I233" s="2"/>
      <c r="J233" s="16">
        <v>47704</v>
      </c>
      <c r="K233" s="2"/>
      <c r="L233" s="13">
        <f t="shared" si="66"/>
        <v>0.21076142131979694</v>
      </c>
      <c r="M233" s="2"/>
      <c r="N233" s="12">
        <f t="shared" si="67"/>
        <v>8304</v>
      </c>
      <c r="O233" s="2"/>
      <c r="P233" s="12">
        <v>39400</v>
      </c>
      <c r="R233" s="2"/>
    </row>
    <row r="234" spans="1:18" x14ac:dyDescent="0.25">
      <c r="A234" t="s">
        <v>140</v>
      </c>
      <c r="B234" t="s">
        <v>145</v>
      </c>
      <c r="C234" t="s">
        <v>146</v>
      </c>
      <c r="D234" s="47">
        <v>5000</v>
      </c>
      <c r="E234" s="2"/>
      <c r="F234" s="37">
        <f t="shared" si="64"/>
        <v>0</v>
      </c>
      <c r="G234" s="2"/>
      <c r="H234" s="12">
        <f t="shared" si="65"/>
        <v>0</v>
      </c>
      <c r="I234" s="2"/>
      <c r="J234" s="16">
        <v>5000</v>
      </c>
      <c r="K234" s="2"/>
      <c r="L234" s="13">
        <f t="shared" si="66"/>
        <v>0</v>
      </c>
      <c r="M234" s="2"/>
      <c r="N234" s="12">
        <f t="shared" si="67"/>
        <v>0</v>
      </c>
      <c r="O234" s="2"/>
      <c r="P234" s="12">
        <v>5000</v>
      </c>
      <c r="R234" s="2"/>
    </row>
    <row r="235" spans="1:18" x14ac:dyDescent="0.25">
      <c r="A235" t="s">
        <v>140</v>
      </c>
      <c r="B235" t="s">
        <v>147</v>
      </c>
      <c r="C235" t="s">
        <v>148</v>
      </c>
      <c r="D235" s="47">
        <f>ROUNDUP((170178),0)</f>
        <v>170178</v>
      </c>
      <c r="E235" s="2"/>
      <c r="F235" s="37">
        <f t="shared" si="64"/>
        <v>0</v>
      </c>
      <c r="G235" s="2"/>
      <c r="H235" s="12">
        <f t="shared" si="65"/>
        <v>0</v>
      </c>
      <c r="I235" s="2"/>
      <c r="J235" s="16">
        <v>170178</v>
      </c>
      <c r="K235" s="2"/>
      <c r="L235" s="13">
        <f t="shared" si="66"/>
        <v>0.18015256588072123</v>
      </c>
      <c r="M235" s="2"/>
      <c r="N235" s="12">
        <f t="shared" si="67"/>
        <v>25978</v>
      </c>
      <c r="O235" s="2"/>
      <c r="P235" s="12">
        <v>144200</v>
      </c>
      <c r="R235" s="2"/>
    </row>
    <row r="236" spans="1:18" x14ac:dyDescent="0.25">
      <c r="A236" t="s">
        <v>140</v>
      </c>
      <c r="B236" t="s">
        <v>34</v>
      </c>
      <c r="C236" t="s">
        <v>35</v>
      </c>
      <c r="D236" s="47">
        <f>ROUNDUP((1308.3),0)</f>
        <v>1309</v>
      </c>
      <c r="E236" s="2"/>
      <c r="F236" s="37">
        <f t="shared" si="64"/>
        <v>-4.3128654970760232E-2</v>
      </c>
      <c r="G236" s="2"/>
      <c r="H236" s="12">
        <f t="shared" si="65"/>
        <v>-59</v>
      </c>
      <c r="I236" s="2"/>
      <c r="J236" s="16">
        <f>ROUNDUP((1367.1),0)</f>
        <v>1368</v>
      </c>
      <c r="K236" s="2"/>
      <c r="L236" s="13">
        <f t="shared" si="66"/>
        <v>-0.17490952955367914</v>
      </c>
      <c r="M236" s="2"/>
      <c r="N236" s="12">
        <f t="shared" si="67"/>
        <v>-290</v>
      </c>
      <c r="O236" s="2"/>
      <c r="P236" s="12">
        <v>1658</v>
      </c>
      <c r="R236" s="2"/>
    </row>
    <row r="237" spans="1:18" x14ac:dyDescent="0.25">
      <c r="A237" t="s">
        <v>140</v>
      </c>
      <c r="B237" t="s">
        <v>9</v>
      </c>
      <c r="C237" t="s">
        <v>10</v>
      </c>
      <c r="D237" s="47">
        <f>ROUNDUP((74448.2),0)</f>
        <v>74449</v>
      </c>
      <c r="E237" s="2"/>
      <c r="F237" s="37">
        <f t="shared" si="64"/>
        <v>0</v>
      </c>
      <c r="G237" s="2"/>
      <c r="H237" s="12">
        <f t="shared" si="65"/>
        <v>0</v>
      </c>
      <c r="I237" s="2"/>
      <c r="J237" s="16">
        <f>ROUNDUP((74448.2),0)</f>
        <v>74449</v>
      </c>
      <c r="K237" s="2"/>
      <c r="L237" s="13">
        <f t="shared" si="66"/>
        <v>0.75301984977277547</v>
      </c>
      <c r="M237" s="2"/>
      <c r="N237" s="12">
        <f t="shared" si="67"/>
        <v>31980</v>
      </c>
      <c r="O237" s="2"/>
      <c r="P237" s="12">
        <v>42469</v>
      </c>
      <c r="R237" s="2"/>
    </row>
    <row r="238" spans="1:18" x14ac:dyDescent="0.25">
      <c r="A238" t="s">
        <v>140</v>
      </c>
      <c r="B238" t="s">
        <v>36</v>
      </c>
      <c r="C238" t="s">
        <v>37</v>
      </c>
      <c r="D238" s="47">
        <f>ROUNDUP((187114.65),0)</f>
        <v>187115</v>
      </c>
      <c r="E238" s="2"/>
      <c r="F238" s="37">
        <f t="shared" si="64"/>
        <v>0</v>
      </c>
      <c r="G238" s="2"/>
      <c r="H238" s="12">
        <f t="shared" si="65"/>
        <v>0</v>
      </c>
      <c r="I238" s="2"/>
      <c r="J238" s="16">
        <f>ROUNDUP((187114.65),0)</f>
        <v>187115</v>
      </c>
      <c r="K238" s="2"/>
      <c r="L238" s="13">
        <f t="shared" si="66"/>
        <v>6.5320367565844153E-2</v>
      </c>
      <c r="M238" s="2"/>
      <c r="N238" s="12">
        <f t="shared" si="67"/>
        <v>11473</v>
      </c>
      <c r="O238" s="2"/>
      <c r="P238" s="12">
        <v>175642</v>
      </c>
      <c r="R238" s="2"/>
    </row>
    <row r="239" spans="1:18" x14ac:dyDescent="0.25">
      <c r="A239" t="s">
        <v>140</v>
      </c>
      <c r="B239" t="s">
        <v>38</v>
      </c>
      <c r="C239" t="s">
        <v>39</v>
      </c>
      <c r="D239" s="47">
        <f>ROUNDUP((347579.6),0)</f>
        <v>347580</v>
      </c>
      <c r="E239" s="2"/>
      <c r="F239" s="37">
        <f t="shared" si="64"/>
        <v>0</v>
      </c>
      <c r="G239" s="2"/>
      <c r="H239" s="12">
        <f t="shared" si="65"/>
        <v>0</v>
      </c>
      <c r="I239" s="2"/>
      <c r="J239" s="16">
        <f>ROUNDUP((347579.6),0)</f>
        <v>347580</v>
      </c>
      <c r="K239" s="2"/>
      <c r="L239" s="13">
        <f t="shared" si="66"/>
        <v>0.10535856256956591</v>
      </c>
      <c r="M239" s="2"/>
      <c r="N239" s="12">
        <f t="shared" si="67"/>
        <v>33130</v>
      </c>
      <c r="O239" s="2"/>
      <c r="P239" s="12">
        <v>314450</v>
      </c>
      <c r="R239" s="2"/>
    </row>
    <row r="240" spans="1:18" x14ac:dyDescent="0.25">
      <c r="A240" t="s">
        <v>140</v>
      </c>
      <c r="B240" t="s">
        <v>11</v>
      </c>
      <c r="C240" t="s">
        <v>12</v>
      </c>
      <c r="D240" s="47">
        <f>ROUNDUP((116102.45),0)</f>
        <v>116103</v>
      </c>
      <c r="E240" s="2"/>
      <c r="F240" s="37">
        <f t="shared" si="64"/>
        <v>0</v>
      </c>
      <c r="G240" s="2"/>
      <c r="H240" s="12">
        <f t="shared" si="65"/>
        <v>0</v>
      </c>
      <c r="I240" s="2"/>
      <c r="J240" s="16">
        <f>ROUNDUP((116102.45),0)</f>
        <v>116103</v>
      </c>
      <c r="K240" s="2"/>
      <c r="L240" s="13">
        <f t="shared" si="66"/>
        <v>0.10873115157997269</v>
      </c>
      <c r="M240" s="2"/>
      <c r="N240" s="12">
        <f t="shared" si="67"/>
        <v>11386</v>
      </c>
      <c r="O240" s="2"/>
      <c r="P240" s="12">
        <v>104717</v>
      </c>
      <c r="R240" s="2"/>
    </row>
    <row r="241" spans="1:18" x14ac:dyDescent="0.25">
      <c r="A241" t="s">
        <v>140</v>
      </c>
      <c r="B241" t="s">
        <v>149</v>
      </c>
      <c r="C241" t="s">
        <v>150</v>
      </c>
      <c r="D241" s="47">
        <v>500</v>
      </c>
      <c r="E241" s="2"/>
      <c r="F241" s="37">
        <f t="shared" si="64"/>
        <v>0</v>
      </c>
      <c r="G241" s="2"/>
      <c r="H241" s="12">
        <f t="shared" si="65"/>
        <v>0</v>
      </c>
      <c r="I241" s="2"/>
      <c r="J241" s="16">
        <v>500</v>
      </c>
      <c r="K241" s="2"/>
      <c r="L241" s="13">
        <f t="shared" si="66"/>
        <v>0</v>
      </c>
      <c r="M241" s="2"/>
      <c r="N241" s="12">
        <f t="shared" si="67"/>
        <v>0</v>
      </c>
      <c r="O241" s="2"/>
      <c r="P241" s="12">
        <v>500</v>
      </c>
      <c r="R241" s="2"/>
    </row>
    <row r="242" spans="1:18" x14ac:dyDescent="0.25">
      <c r="A242" t="s">
        <v>140</v>
      </c>
      <c r="B242" t="s">
        <v>13</v>
      </c>
      <c r="C242" t="s">
        <v>14</v>
      </c>
      <c r="D242" s="47">
        <v>5150</v>
      </c>
      <c r="E242" s="2"/>
      <c r="F242" s="37">
        <f t="shared" si="64"/>
        <v>0</v>
      </c>
      <c r="G242" s="2"/>
      <c r="H242" s="12">
        <f t="shared" si="65"/>
        <v>0</v>
      </c>
      <c r="I242" s="2"/>
      <c r="J242" s="16">
        <v>5150</v>
      </c>
      <c r="K242" s="2"/>
      <c r="L242" s="13">
        <f t="shared" si="66"/>
        <v>0</v>
      </c>
      <c r="M242" s="2"/>
      <c r="N242" s="12">
        <f t="shared" si="67"/>
        <v>0</v>
      </c>
      <c r="O242" s="2"/>
      <c r="P242" s="12">
        <v>5150</v>
      </c>
      <c r="R242" s="2"/>
    </row>
    <row r="243" spans="1:18" x14ac:dyDescent="0.25">
      <c r="A243" t="s">
        <v>140</v>
      </c>
      <c r="B243" t="s">
        <v>15</v>
      </c>
      <c r="C243" t="s">
        <v>16</v>
      </c>
      <c r="D243" s="47">
        <v>17000</v>
      </c>
      <c r="E243" s="2"/>
      <c r="F243" s="37">
        <f t="shared" si="64"/>
        <v>0</v>
      </c>
      <c r="G243" s="2"/>
      <c r="H243" s="12">
        <f t="shared" si="65"/>
        <v>0</v>
      </c>
      <c r="I243" s="2"/>
      <c r="J243" s="16">
        <v>17000</v>
      </c>
      <c r="K243" s="2"/>
      <c r="L243" s="13">
        <f t="shared" si="66"/>
        <v>0.21428571428571427</v>
      </c>
      <c r="M243" s="2"/>
      <c r="N243" s="12">
        <f t="shared" si="67"/>
        <v>3000</v>
      </c>
      <c r="O243" s="2"/>
      <c r="P243" s="12">
        <v>14000</v>
      </c>
      <c r="R243" s="2"/>
    </row>
    <row r="244" spans="1:18" x14ac:dyDescent="0.25">
      <c r="A244" t="s">
        <v>140</v>
      </c>
      <c r="B244" t="s">
        <v>19</v>
      </c>
      <c r="C244" t="s">
        <v>20</v>
      </c>
      <c r="D244" s="47">
        <v>300</v>
      </c>
      <c r="E244" s="2"/>
      <c r="F244" s="37">
        <f t="shared" si="64"/>
        <v>0</v>
      </c>
      <c r="G244" s="2"/>
      <c r="H244" s="12">
        <f t="shared" si="65"/>
        <v>0</v>
      </c>
      <c r="I244" s="2"/>
      <c r="J244" s="16">
        <v>300</v>
      </c>
      <c r="K244" s="2"/>
      <c r="L244" s="13">
        <f t="shared" si="66"/>
        <v>-0.14285714285714285</v>
      </c>
      <c r="M244" s="2"/>
      <c r="N244" s="12">
        <f t="shared" si="67"/>
        <v>-50</v>
      </c>
      <c r="O244" s="2"/>
      <c r="P244" s="12">
        <v>350</v>
      </c>
      <c r="R244" s="2"/>
    </row>
    <row r="245" spans="1:18" x14ac:dyDescent="0.25">
      <c r="A245" t="s">
        <v>140</v>
      </c>
      <c r="B245" t="s">
        <v>21</v>
      </c>
      <c r="C245" t="s">
        <v>22</v>
      </c>
      <c r="D245" s="47">
        <v>200</v>
      </c>
      <c r="E245" s="2"/>
      <c r="F245" s="37">
        <f t="shared" si="64"/>
        <v>0</v>
      </c>
      <c r="G245" s="2"/>
      <c r="H245" s="12">
        <f t="shared" si="65"/>
        <v>0</v>
      </c>
      <c r="I245" s="2"/>
      <c r="J245" s="16">
        <v>200</v>
      </c>
      <c r="K245" s="2"/>
      <c r="L245" s="13">
        <f t="shared" si="66"/>
        <v>0</v>
      </c>
      <c r="M245" s="2"/>
      <c r="N245" s="12">
        <f t="shared" si="67"/>
        <v>0</v>
      </c>
      <c r="O245" s="2"/>
      <c r="P245" s="12">
        <v>200</v>
      </c>
      <c r="R245" s="2"/>
    </row>
    <row r="246" spans="1:18" x14ac:dyDescent="0.25">
      <c r="A246" t="s">
        <v>140</v>
      </c>
      <c r="B246" t="s">
        <v>63</v>
      </c>
      <c r="C246" t="s">
        <v>64</v>
      </c>
      <c r="D246" s="47">
        <v>3400</v>
      </c>
      <c r="E246" s="2"/>
      <c r="F246" s="37">
        <f t="shared" si="64"/>
        <v>0</v>
      </c>
      <c r="G246" s="2"/>
      <c r="H246" s="12">
        <f t="shared" si="65"/>
        <v>0</v>
      </c>
      <c r="I246" s="2"/>
      <c r="J246" s="16">
        <v>3400</v>
      </c>
      <c r="K246" s="2"/>
      <c r="L246" s="13">
        <f t="shared" si="66"/>
        <v>0.30769230769230771</v>
      </c>
      <c r="M246" s="2"/>
      <c r="N246" s="12">
        <f t="shared" si="67"/>
        <v>800</v>
      </c>
      <c r="O246" s="2"/>
      <c r="P246" s="12">
        <v>2600</v>
      </c>
      <c r="R246" s="2"/>
    </row>
    <row r="247" spans="1:18" x14ac:dyDescent="0.25">
      <c r="A247" t="s">
        <v>140</v>
      </c>
      <c r="B247" t="s">
        <v>151</v>
      </c>
      <c r="C247" t="s">
        <v>152</v>
      </c>
      <c r="D247" s="47">
        <v>1750</v>
      </c>
      <c r="E247" s="2"/>
      <c r="F247" s="37">
        <f t="shared" si="64"/>
        <v>0</v>
      </c>
      <c r="G247" s="2"/>
      <c r="H247" s="12">
        <f t="shared" si="65"/>
        <v>0</v>
      </c>
      <c r="I247" s="2"/>
      <c r="J247" s="16">
        <v>1750</v>
      </c>
      <c r="K247" s="2"/>
      <c r="L247" s="13">
        <f t="shared" si="66"/>
        <v>0</v>
      </c>
      <c r="M247" s="2"/>
      <c r="N247" s="12">
        <f t="shared" si="67"/>
        <v>0</v>
      </c>
      <c r="O247" s="2"/>
      <c r="P247" s="12">
        <v>1750</v>
      </c>
      <c r="R247" s="2"/>
    </row>
    <row r="248" spans="1:18" x14ac:dyDescent="0.25">
      <c r="A248" t="s">
        <v>140</v>
      </c>
      <c r="B248" t="s">
        <v>153</v>
      </c>
      <c r="C248" t="s">
        <v>154</v>
      </c>
      <c r="D248" s="47">
        <v>21800</v>
      </c>
      <c r="E248" s="2"/>
      <c r="F248" s="37">
        <f t="shared" si="64"/>
        <v>0</v>
      </c>
      <c r="G248" s="2"/>
      <c r="H248" s="12">
        <f t="shared" si="65"/>
        <v>0</v>
      </c>
      <c r="I248" s="2"/>
      <c r="J248" s="16">
        <v>21800</v>
      </c>
      <c r="K248" s="2"/>
      <c r="L248" s="13">
        <f t="shared" si="66"/>
        <v>0.12371134020618557</v>
      </c>
      <c r="M248" s="2"/>
      <c r="N248" s="12">
        <f t="shared" si="67"/>
        <v>2400</v>
      </c>
      <c r="O248" s="2"/>
      <c r="P248" s="12">
        <v>19400</v>
      </c>
      <c r="R248" s="2"/>
    </row>
    <row r="249" spans="1:18" x14ac:dyDescent="0.25">
      <c r="A249" t="s">
        <v>140</v>
      </c>
      <c r="B249" t="s">
        <v>40</v>
      </c>
      <c r="C249" t="s">
        <v>41</v>
      </c>
      <c r="D249" s="47">
        <f>6274+360</f>
        <v>6634</v>
      </c>
      <c r="E249" s="2"/>
      <c r="F249" s="37">
        <f t="shared" si="64"/>
        <v>5.7379662097545428E-2</v>
      </c>
      <c r="G249" s="2"/>
      <c r="H249" s="12">
        <f t="shared" si="65"/>
        <v>360</v>
      </c>
      <c r="I249" s="2"/>
      <c r="J249" s="16">
        <v>6274</v>
      </c>
      <c r="K249" s="2"/>
      <c r="L249" s="13">
        <f t="shared" si="66"/>
        <v>0</v>
      </c>
      <c r="M249" s="2"/>
      <c r="N249" s="12">
        <f t="shared" si="67"/>
        <v>0</v>
      </c>
      <c r="O249" s="2"/>
      <c r="P249" s="12">
        <v>6274</v>
      </c>
      <c r="R249" s="2"/>
    </row>
    <row r="250" spans="1:18" x14ac:dyDescent="0.25">
      <c r="A250" t="s">
        <v>140</v>
      </c>
      <c r="B250" t="s">
        <v>155</v>
      </c>
      <c r="C250" t="s">
        <v>156</v>
      </c>
      <c r="D250" s="47">
        <v>1900</v>
      </c>
      <c r="E250" s="2"/>
      <c r="F250" s="37">
        <f t="shared" si="64"/>
        <v>0</v>
      </c>
      <c r="G250" s="2"/>
      <c r="H250" s="12">
        <f t="shared" si="65"/>
        <v>0</v>
      </c>
      <c r="I250" s="2"/>
      <c r="J250" s="16">
        <v>1900</v>
      </c>
      <c r="K250" s="2"/>
      <c r="L250" s="13">
        <f t="shared" si="66"/>
        <v>0</v>
      </c>
      <c r="M250" s="2"/>
      <c r="N250" s="12">
        <f t="shared" si="67"/>
        <v>0</v>
      </c>
      <c r="O250" s="2"/>
      <c r="P250" s="12">
        <v>1900</v>
      </c>
      <c r="R250" s="2"/>
    </row>
    <row r="251" spans="1:18" x14ac:dyDescent="0.25">
      <c r="A251" t="s">
        <v>140</v>
      </c>
      <c r="B251" t="s">
        <v>85</v>
      </c>
      <c r="C251" t="s">
        <v>86</v>
      </c>
      <c r="D251" s="47">
        <v>33775</v>
      </c>
      <c r="E251" s="2"/>
      <c r="F251" s="37">
        <f t="shared" si="64"/>
        <v>0</v>
      </c>
      <c r="G251" s="2"/>
      <c r="H251" s="12">
        <f t="shared" si="65"/>
        <v>0</v>
      </c>
      <c r="I251" s="2"/>
      <c r="J251" s="16">
        <v>33775</v>
      </c>
      <c r="K251" s="2"/>
      <c r="L251" s="13">
        <f t="shared" si="66"/>
        <v>-0.10589013898080742</v>
      </c>
      <c r="M251" s="2"/>
      <c r="N251" s="12">
        <f t="shared" si="67"/>
        <v>-4000</v>
      </c>
      <c r="O251" s="2"/>
      <c r="P251" s="12">
        <v>37775</v>
      </c>
      <c r="R251" s="2"/>
    </row>
    <row r="252" spans="1:18" x14ac:dyDescent="0.25">
      <c r="A252" t="s">
        <v>140</v>
      </c>
      <c r="B252" t="s">
        <v>157</v>
      </c>
      <c r="C252" t="s">
        <v>158</v>
      </c>
      <c r="D252" s="47">
        <v>234</v>
      </c>
      <c r="E252" s="2"/>
      <c r="F252" s="37">
        <f t="shared" si="64"/>
        <v>0</v>
      </c>
      <c r="G252" s="2"/>
      <c r="H252" s="12">
        <f t="shared" si="65"/>
        <v>0</v>
      </c>
      <c r="I252" s="2"/>
      <c r="J252" s="16">
        <v>234</v>
      </c>
      <c r="K252" s="2"/>
      <c r="L252" s="13">
        <f t="shared" si="66"/>
        <v>0</v>
      </c>
      <c r="M252" s="2"/>
      <c r="N252" s="12">
        <f t="shared" si="67"/>
        <v>0</v>
      </c>
      <c r="O252" s="2"/>
      <c r="P252" s="12">
        <v>234</v>
      </c>
      <c r="R252" s="2"/>
    </row>
    <row r="253" spans="1:18" x14ac:dyDescent="0.25">
      <c r="A253" t="s">
        <v>140</v>
      </c>
      <c r="B253" t="s">
        <v>159</v>
      </c>
      <c r="C253" t="s">
        <v>160</v>
      </c>
      <c r="D253" s="47">
        <v>6628</v>
      </c>
      <c r="E253" s="2"/>
      <c r="F253" s="37">
        <f t="shared" si="64"/>
        <v>0</v>
      </c>
      <c r="G253" s="2"/>
      <c r="H253" s="12">
        <f t="shared" si="65"/>
        <v>0</v>
      </c>
      <c r="I253" s="2"/>
      <c r="J253" s="16">
        <v>6628</v>
      </c>
      <c r="K253" s="2"/>
      <c r="L253" s="13">
        <f t="shared" si="66"/>
        <v>0.29251170046801872</v>
      </c>
      <c r="M253" s="2"/>
      <c r="N253" s="12">
        <f t="shared" si="67"/>
        <v>1500</v>
      </c>
      <c r="O253" s="2"/>
      <c r="P253" s="12">
        <v>5128</v>
      </c>
      <c r="R253" s="2"/>
    </row>
    <row r="254" spans="1:18" x14ac:dyDescent="0.25">
      <c r="A254" t="s">
        <v>140</v>
      </c>
      <c r="B254" t="s">
        <v>23</v>
      </c>
      <c r="C254" t="s">
        <v>24</v>
      </c>
      <c r="D254" s="47">
        <v>18000</v>
      </c>
      <c r="E254" s="2"/>
      <c r="F254" s="37">
        <f t="shared" si="64"/>
        <v>0</v>
      </c>
      <c r="G254" s="2"/>
      <c r="H254" s="12">
        <f t="shared" si="65"/>
        <v>0</v>
      </c>
      <c r="I254" s="2"/>
      <c r="J254" s="16">
        <v>18000</v>
      </c>
      <c r="K254" s="2"/>
      <c r="L254" s="13">
        <f t="shared" si="66"/>
        <v>0.13307314616643587</v>
      </c>
      <c r="M254" s="2"/>
      <c r="N254" s="12">
        <f t="shared" si="67"/>
        <v>2114</v>
      </c>
      <c r="O254" s="2"/>
      <c r="P254" s="12">
        <v>15886</v>
      </c>
      <c r="R254" s="2"/>
    </row>
    <row r="255" spans="1:18" x14ac:dyDescent="0.25">
      <c r="A255" t="s">
        <v>140</v>
      </c>
      <c r="B255" t="s">
        <v>44</v>
      </c>
      <c r="C255" t="s">
        <v>45</v>
      </c>
      <c r="D255" s="47">
        <v>450</v>
      </c>
      <c r="E255" s="2"/>
      <c r="F255" s="37">
        <f t="shared" si="64"/>
        <v>0</v>
      </c>
      <c r="G255" s="2"/>
      <c r="H255" s="12">
        <f t="shared" si="65"/>
        <v>0</v>
      </c>
      <c r="I255" s="2"/>
      <c r="J255" s="16">
        <v>450</v>
      </c>
      <c r="K255" s="2"/>
      <c r="L255" s="13">
        <f t="shared" si="66"/>
        <v>0</v>
      </c>
      <c r="M255" s="2"/>
      <c r="N255" s="12">
        <f t="shared" si="67"/>
        <v>0</v>
      </c>
      <c r="O255" s="2"/>
      <c r="P255" s="12">
        <v>450</v>
      </c>
      <c r="R255" s="2"/>
    </row>
    <row r="256" spans="1:18" x14ac:dyDescent="0.25">
      <c r="A256" t="s">
        <v>140</v>
      </c>
      <c r="B256" t="s">
        <v>161</v>
      </c>
      <c r="C256" t="s">
        <v>162</v>
      </c>
      <c r="D256" s="47">
        <v>2608</v>
      </c>
      <c r="E256" s="2"/>
      <c r="F256" s="37">
        <f t="shared" si="64"/>
        <v>0</v>
      </c>
      <c r="G256" s="2"/>
      <c r="H256" s="12">
        <f t="shared" si="65"/>
        <v>0</v>
      </c>
      <c r="I256" s="2"/>
      <c r="J256" s="16">
        <v>2608</v>
      </c>
      <c r="K256" s="2"/>
      <c r="L256" s="13">
        <f t="shared" si="66"/>
        <v>0</v>
      </c>
      <c r="M256" s="2"/>
      <c r="N256" s="12">
        <f t="shared" si="67"/>
        <v>0</v>
      </c>
      <c r="O256" s="2"/>
      <c r="P256" s="12">
        <v>2608</v>
      </c>
      <c r="R256" s="2"/>
    </row>
    <row r="257" spans="1:18" x14ac:dyDescent="0.25">
      <c r="A257" t="s">
        <v>140</v>
      </c>
      <c r="B257" t="s">
        <v>87</v>
      </c>
      <c r="C257" t="s">
        <v>88</v>
      </c>
      <c r="D257" s="47">
        <v>13000</v>
      </c>
      <c r="E257" s="2"/>
      <c r="F257" s="37">
        <f t="shared" si="64"/>
        <v>0</v>
      </c>
      <c r="G257" s="2"/>
      <c r="H257" s="12">
        <f t="shared" si="65"/>
        <v>0</v>
      </c>
      <c r="I257" s="2"/>
      <c r="J257" s="16">
        <v>13000</v>
      </c>
      <c r="K257" s="2"/>
      <c r="L257" s="13">
        <f t="shared" si="66"/>
        <v>0</v>
      </c>
      <c r="M257" s="2"/>
      <c r="N257" s="12">
        <f t="shared" si="67"/>
        <v>0</v>
      </c>
      <c r="O257" s="2"/>
      <c r="P257" s="12">
        <v>13000</v>
      </c>
      <c r="R257" s="2"/>
    </row>
    <row r="258" spans="1:18" x14ac:dyDescent="0.25">
      <c r="A258" t="s">
        <v>140</v>
      </c>
      <c r="B258" t="s">
        <v>123</v>
      </c>
      <c r="C258" t="s">
        <v>124</v>
      </c>
      <c r="D258" s="47">
        <v>7768</v>
      </c>
      <c r="E258" s="2"/>
      <c r="F258" s="37">
        <f t="shared" si="64"/>
        <v>0</v>
      </c>
      <c r="G258" s="2"/>
      <c r="H258" s="12">
        <f t="shared" si="65"/>
        <v>0</v>
      </c>
      <c r="I258" s="2"/>
      <c r="J258" s="16">
        <v>7768</v>
      </c>
      <c r="K258" s="2"/>
      <c r="L258" s="13">
        <f t="shared" si="66"/>
        <v>0</v>
      </c>
      <c r="M258" s="2"/>
      <c r="N258" s="12">
        <f t="shared" si="67"/>
        <v>0</v>
      </c>
      <c r="O258" s="2"/>
      <c r="P258" s="12">
        <v>7768</v>
      </c>
      <c r="R258" s="2"/>
    </row>
    <row r="259" spans="1:18" x14ac:dyDescent="0.25">
      <c r="A259" t="s">
        <v>140</v>
      </c>
      <c r="B259" t="s">
        <v>163</v>
      </c>
      <c r="C259" t="s">
        <v>164</v>
      </c>
      <c r="D259" s="47">
        <v>2000</v>
      </c>
      <c r="E259" s="2"/>
      <c r="F259" s="37">
        <f t="shared" si="64"/>
        <v>0</v>
      </c>
      <c r="G259" s="2"/>
      <c r="H259" s="12">
        <f t="shared" si="65"/>
        <v>0</v>
      </c>
      <c r="I259" s="2"/>
      <c r="J259" s="16">
        <v>2000</v>
      </c>
      <c r="K259" s="2"/>
      <c r="L259" s="13">
        <f t="shared" si="66"/>
        <v>0</v>
      </c>
      <c r="M259" s="2"/>
      <c r="N259" s="12">
        <f t="shared" si="67"/>
        <v>0</v>
      </c>
      <c r="O259" s="2"/>
      <c r="P259" s="12">
        <v>2000</v>
      </c>
      <c r="R259" s="2"/>
    </row>
    <row r="260" spans="1:18" x14ac:dyDescent="0.25">
      <c r="A260" t="s">
        <v>140</v>
      </c>
      <c r="B260" t="s">
        <v>69</v>
      </c>
      <c r="C260" t="s">
        <v>70</v>
      </c>
      <c r="D260" s="47">
        <v>5500</v>
      </c>
      <c r="E260" s="2"/>
      <c r="F260" s="37">
        <f t="shared" si="64"/>
        <v>0</v>
      </c>
      <c r="G260" s="2"/>
      <c r="H260" s="12">
        <f t="shared" si="65"/>
        <v>0</v>
      </c>
      <c r="I260" s="2"/>
      <c r="J260" s="16">
        <v>5500</v>
      </c>
      <c r="K260" s="2"/>
      <c r="L260" s="13">
        <f t="shared" si="66"/>
        <v>0</v>
      </c>
      <c r="M260" s="2"/>
      <c r="N260" s="12">
        <f t="shared" si="67"/>
        <v>0</v>
      </c>
      <c r="O260" s="2"/>
      <c r="P260" s="12">
        <v>5500</v>
      </c>
      <c r="R260" s="2"/>
    </row>
    <row r="261" spans="1:18" x14ac:dyDescent="0.25">
      <c r="A261" t="s">
        <v>140</v>
      </c>
      <c r="B261" t="s">
        <v>71</v>
      </c>
      <c r="C261" t="s">
        <v>72</v>
      </c>
      <c r="D261" s="47">
        <f>23750-5000</f>
        <v>18750</v>
      </c>
      <c r="E261" s="2"/>
      <c r="F261" s="37">
        <f t="shared" si="64"/>
        <v>-0.21052631578947367</v>
      </c>
      <c r="G261" s="2"/>
      <c r="H261" s="12">
        <f t="shared" si="65"/>
        <v>-5000</v>
      </c>
      <c r="I261" s="2"/>
      <c r="J261" s="16">
        <v>23750</v>
      </c>
      <c r="K261" s="2"/>
      <c r="L261" s="13">
        <f t="shared" si="66"/>
        <v>5.333333333333333</v>
      </c>
      <c r="M261" s="2"/>
      <c r="N261" s="12">
        <f t="shared" si="67"/>
        <v>20000</v>
      </c>
      <c r="O261" s="2"/>
      <c r="P261" s="12">
        <v>3750</v>
      </c>
      <c r="Q261" t="s">
        <v>428</v>
      </c>
      <c r="R261" s="2"/>
    </row>
    <row r="262" spans="1:18" x14ac:dyDescent="0.25">
      <c r="A262" t="s">
        <v>140</v>
      </c>
      <c r="B262" t="s">
        <v>165</v>
      </c>
      <c r="C262" t="s">
        <v>166</v>
      </c>
      <c r="D262" s="47">
        <f>115000-25000</f>
        <v>90000</v>
      </c>
      <c r="E262" s="2"/>
      <c r="F262" s="37">
        <f t="shared" si="64"/>
        <v>-0.21739130434782608</v>
      </c>
      <c r="G262" s="2"/>
      <c r="H262" s="12">
        <f t="shared" si="65"/>
        <v>-25000</v>
      </c>
      <c r="I262" s="2"/>
      <c r="J262" s="16">
        <v>115000</v>
      </c>
      <c r="K262" s="2"/>
      <c r="L262" s="13">
        <f t="shared" si="66"/>
        <v>0.71641791044776115</v>
      </c>
      <c r="M262" s="2"/>
      <c r="N262" s="12">
        <f t="shared" si="67"/>
        <v>48000</v>
      </c>
      <c r="O262" s="2"/>
      <c r="P262" s="12">
        <v>67000</v>
      </c>
      <c r="Q262" t="s">
        <v>423</v>
      </c>
      <c r="R262" s="2"/>
    </row>
    <row r="263" spans="1:18" x14ac:dyDescent="0.25">
      <c r="D263" s="2"/>
      <c r="E263" s="2"/>
      <c r="F263" s="2"/>
      <c r="G263" s="2"/>
      <c r="H263" s="2"/>
      <c r="I263" s="2"/>
      <c r="J263" s="2"/>
      <c r="K263" s="2"/>
      <c r="M263" s="2"/>
      <c r="O263" s="2"/>
      <c r="R263" s="2"/>
    </row>
    <row r="264" spans="1:18" x14ac:dyDescent="0.25">
      <c r="A264" t="s">
        <v>5</v>
      </c>
      <c r="B264" t="s">
        <v>5</v>
      </c>
      <c r="C264" s="1" t="s">
        <v>366</v>
      </c>
      <c r="D264" s="8">
        <f>SUM(D227:D262)</f>
        <v>2518583</v>
      </c>
      <c r="E264" s="2"/>
      <c r="F264" s="15">
        <f>H264/J264</f>
        <v>-1.1654518612932164E-2</v>
      </c>
      <c r="G264" s="2"/>
      <c r="H264" s="8">
        <f>SUM(H227:H262)</f>
        <v>-29699</v>
      </c>
      <c r="I264" s="2"/>
      <c r="J264" s="8">
        <f>SUM(J227:J262)</f>
        <v>2548282</v>
      </c>
      <c r="K264" s="2"/>
      <c r="L264" s="15">
        <f>N264/P264</f>
        <v>0.13863999410188985</v>
      </c>
      <c r="M264" s="2"/>
      <c r="N264" s="8">
        <f>SUM(N227:N262)</f>
        <v>310277</v>
      </c>
      <c r="O264" s="2"/>
      <c r="P264" s="8">
        <f>SUM(P227:P262)</f>
        <v>2238005</v>
      </c>
      <c r="R264" s="2"/>
    </row>
    <row r="265" spans="1:18" x14ac:dyDescent="0.25">
      <c r="D265" s="2"/>
      <c r="E265" s="2"/>
      <c r="F265" s="2"/>
      <c r="G265" s="2"/>
      <c r="H265" s="2"/>
      <c r="I265" s="2"/>
      <c r="J265" s="2"/>
      <c r="K265" s="2"/>
      <c r="M265" s="2"/>
      <c r="O265" s="2"/>
      <c r="R265" s="2"/>
    </row>
    <row r="266" spans="1:18" x14ac:dyDescent="0.25">
      <c r="A266" t="s">
        <v>167</v>
      </c>
      <c r="B266" t="s">
        <v>57</v>
      </c>
      <c r="C266" t="s">
        <v>58</v>
      </c>
      <c r="D266" s="47">
        <f>ROUNDUP((95231.14),0)</f>
        <v>95232</v>
      </c>
      <c r="E266" s="2"/>
      <c r="F266" s="37">
        <f t="shared" ref="F266:F297" si="68">H266/J266</f>
        <v>0</v>
      </c>
      <c r="G266" s="2"/>
      <c r="H266" s="12">
        <f t="shared" ref="H266:H297" si="69">D266-J266</f>
        <v>0</v>
      </c>
      <c r="I266" s="2"/>
      <c r="J266" s="16">
        <f>ROUNDUP((95231.14),0)</f>
        <v>95232</v>
      </c>
      <c r="K266" s="2"/>
      <c r="L266" s="13">
        <f t="shared" ref="L266:L297" si="70">N266/P266</f>
        <v>8.6552723455719599E-2</v>
      </c>
      <c r="M266" s="2"/>
      <c r="N266" s="12">
        <f t="shared" ref="N266:N297" si="71">J266-P266</f>
        <v>7586</v>
      </c>
      <c r="O266" s="2"/>
      <c r="P266" s="12">
        <v>87646</v>
      </c>
      <c r="Q266" t="s">
        <v>355</v>
      </c>
      <c r="R266" s="2"/>
    </row>
    <row r="267" spans="1:18" x14ac:dyDescent="0.25">
      <c r="A267" t="s">
        <v>167</v>
      </c>
      <c r="B267" t="s">
        <v>30</v>
      </c>
      <c r="C267" t="s">
        <v>31</v>
      </c>
      <c r="D267" s="47">
        <f>ROUNDUP((198775.67),0)</f>
        <v>198776</v>
      </c>
      <c r="E267" s="2"/>
      <c r="F267" s="37">
        <f t="shared" si="68"/>
        <v>0</v>
      </c>
      <c r="G267" s="2"/>
      <c r="H267" s="12">
        <f t="shared" si="69"/>
        <v>0</v>
      </c>
      <c r="I267" s="2"/>
      <c r="J267" s="16">
        <f>ROUNDUP((198775.67),0)</f>
        <v>198776</v>
      </c>
      <c r="K267" s="2"/>
      <c r="L267" s="13">
        <f t="shared" si="70"/>
        <v>1.1892835508563246</v>
      </c>
      <c r="M267" s="2"/>
      <c r="N267" s="12">
        <f t="shared" si="71"/>
        <v>107981</v>
      </c>
      <c r="O267" s="2"/>
      <c r="P267" s="12">
        <v>90795</v>
      </c>
      <c r="Q267" t="s">
        <v>369</v>
      </c>
      <c r="R267" s="2"/>
    </row>
    <row r="268" spans="1:18" x14ac:dyDescent="0.25">
      <c r="A268" t="s">
        <v>167</v>
      </c>
      <c r="B268" t="s">
        <v>59</v>
      </c>
      <c r="C268" t="s">
        <v>168</v>
      </c>
      <c r="D268" s="47">
        <f>ROUNDUP((208525.3),0)</f>
        <v>208526</v>
      </c>
      <c r="E268" s="2"/>
      <c r="F268" s="37">
        <f t="shared" si="68"/>
        <v>0.10751368949931751</v>
      </c>
      <c r="G268" s="2"/>
      <c r="H268" s="12">
        <f t="shared" si="69"/>
        <v>20243</v>
      </c>
      <c r="I268" s="2"/>
      <c r="J268" s="16">
        <f>ROUNDUP((188282.72),0)</f>
        <v>188283</v>
      </c>
      <c r="K268" s="2"/>
      <c r="L268" s="13">
        <f t="shared" si="70"/>
        <v>2.8138480860590839E-2</v>
      </c>
      <c r="M268" s="2"/>
      <c r="N268" s="12">
        <f t="shared" si="71"/>
        <v>5153</v>
      </c>
      <c r="O268" s="2"/>
      <c r="P268" s="12">
        <v>183130</v>
      </c>
      <c r="R268" s="2"/>
    </row>
    <row r="269" spans="1:18" x14ac:dyDescent="0.25">
      <c r="A269" t="s">
        <v>167</v>
      </c>
      <c r="B269" t="s">
        <v>34</v>
      </c>
      <c r="C269" t="s">
        <v>35</v>
      </c>
      <c r="D269" s="47">
        <f>ROUNDUP((1252.8),0)</f>
        <v>1253</v>
      </c>
      <c r="E269" s="2"/>
      <c r="F269" s="37">
        <f t="shared" si="68"/>
        <v>0</v>
      </c>
      <c r="G269" s="2"/>
      <c r="H269" s="12">
        <f t="shared" si="69"/>
        <v>0</v>
      </c>
      <c r="I269" s="2"/>
      <c r="J269" s="16">
        <f>ROUNDUP((1252.8),0)</f>
        <v>1253</v>
      </c>
      <c r="K269" s="2"/>
      <c r="L269" s="13">
        <f t="shared" si="70"/>
        <v>0.25803212851405621</v>
      </c>
      <c r="M269" s="2"/>
      <c r="N269" s="12">
        <f t="shared" si="71"/>
        <v>257</v>
      </c>
      <c r="O269" s="2"/>
      <c r="P269" s="12">
        <v>996</v>
      </c>
      <c r="R269" s="2"/>
    </row>
    <row r="270" spans="1:18" x14ac:dyDescent="0.25">
      <c r="A270" t="s">
        <v>167</v>
      </c>
      <c r="B270" t="s">
        <v>9</v>
      </c>
      <c r="C270" t="s">
        <v>10</v>
      </c>
      <c r="D270" s="47">
        <f>ROUNDUP((68527.71),0)</f>
        <v>68528</v>
      </c>
      <c r="E270" s="2"/>
      <c r="F270" s="37">
        <f t="shared" si="68"/>
        <v>4.1965697603697845E-2</v>
      </c>
      <c r="G270" s="2"/>
      <c r="H270" s="12">
        <f t="shared" si="69"/>
        <v>2760</v>
      </c>
      <c r="I270" s="2"/>
      <c r="J270" s="16">
        <f>ROUNDUP((65767.34),)</f>
        <v>65768</v>
      </c>
      <c r="K270" s="2"/>
      <c r="L270" s="13">
        <f t="shared" si="70"/>
        <v>2.6136263736263738</v>
      </c>
      <c r="M270" s="2"/>
      <c r="N270" s="12">
        <f t="shared" si="71"/>
        <v>47568</v>
      </c>
      <c r="O270" s="2"/>
      <c r="P270" s="12">
        <v>18200</v>
      </c>
      <c r="R270" s="2"/>
    </row>
    <row r="271" spans="1:18" x14ac:dyDescent="0.25">
      <c r="A271" t="s">
        <v>167</v>
      </c>
      <c r="B271" t="s">
        <v>36</v>
      </c>
      <c r="C271" t="s">
        <v>37</v>
      </c>
      <c r="D271" s="47">
        <f>ROUNDUP((37632.87),0)</f>
        <v>37633</v>
      </c>
      <c r="E271" s="2"/>
      <c r="F271" s="37">
        <f t="shared" si="68"/>
        <v>0</v>
      </c>
      <c r="G271" s="2"/>
      <c r="H271" s="12">
        <f t="shared" si="69"/>
        <v>0</v>
      </c>
      <c r="I271" s="2"/>
      <c r="J271" s="16">
        <f>ROUNDUP((37632.87),0)</f>
        <v>37633</v>
      </c>
      <c r="K271" s="2"/>
      <c r="L271" s="13">
        <f t="shared" si="70"/>
        <v>0.57387813140395638</v>
      </c>
      <c r="M271" s="2"/>
      <c r="N271" s="12">
        <f t="shared" si="71"/>
        <v>13722</v>
      </c>
      <c r="O271" s="2"/>
      <c r="P271" s="12">
        <v>23911</v>
      </c>
      <c r="R271" s="2"/>
    </row>
    <row r="272" spans="1:18" x14ac:dyDescent="0.25">
      <c r="A272" t="s">
        <v>167</v>
      </c>
      <c r="B272" t="s">
        <v>38</v>
      </c>
      <c r="C272" t="s">
        <v>39</v>
      </c>
      <c r="D272" s="47">
        <f>ROUNDUP((96792.28),0)</f>
        <v>96793</v>
      </c>
      <c r="E272" s="2"/>
      <c r="F272" s="37">
        <f t="shared" si="68"/>
        <v>0</v>
      </c>
      <c r="G272" s="2"/>
      <c r="H272" s="12">
        <f t="shared" si="69"/>
        <v>0</v>
      </c>
      <c r="I272" s="2"/>
      <c r="J272" s="16">
        <f>ROUNDUP((96792.28),)</f>
        <v>96793</v>
      </c>
      <c r="K272" s="2"/>
      <c r="L272" s="13">
        <f t="shared" si="70"/>
        <v>0.83177835392971367</v>
      </c>
      <c r="M272" s="2"/>
      <c r="N272" s="12">
        <f t="shared" si="71"/>
        <v>43952</v>
      </c>
      <c r="O272" s="2"/>
      <c r="P272" s="12">
        <v>52841</v>
      </c>
      <c r="R272" s="2"/>
    </row>
    <row r="273" spans="1:18" x14ac:dyDescent="0.25">
      <c r="A273" t="s">
        <v>167</v>
      </c>
      <c r="B273" t="s">
        <v>11</v>
      </c>
      <c r="C273" t="s">
        <v>12</v>
      </c>
      <c r="D273" s="47">
        <f>ROUNDUP((38443.71),0)</f>
        <v>38444</v>
      </c>
      <c r="E273" s="2"/>
      <c r="F273" s="37">
        <f t="shared" si="68"/>
        <v>4.1955767562879442E-2</v>
      </c>
      <c r="G273" s="2"/>
      <c r="H273" s="12">
        <f t="shared" si="69"/>
        <v>1548</v>
      </c>
      <c r="I273" s="2"/>
      <c r="J273" s="16">
        <f>ROUNDUP((36895.15),0)</f>
        <v>36896</v>
      </c>
      <c r="K273" s="2"/>
      <c r="L273" s="13">
        <f t="shared" si="70"/>
        <v>0.33391178597252352</v>
      </c>
      <c r="M273" s="2"/>
      <c r="N273" s="12">
        <f t="shared" si="71"/>
        <v>9236</v>
      </c>
      <c r="O273" s="2"/>
      <c r="P273" s="12">
        <v>27660</v>
      </c>
      <c r="R273" s="2"/>
    </row>
    <row r="274" spans="1:18" x14ac:dyDescent="0.25">
      <c r="A274" t="s">
        <v>167</v>
      </c>
      <c r="B274" t="s">
        <v>13</v>
      </c>
      <c r="C274" t="s">
        <v>14</v>
      </c>
      <c r="D274" s="47">
        <v>500</v>
      </c>
      <c r="E274" s="2"/>
      <c r="F274" s="37">
        <f t="shared" si="68"/>
        <v>0</v>
      </c>
      <c r="G274" s="2"/>
      <c r="H274" s="12">
        <f t="shared" si="69"/>
        <v>0</v>
      </c>
      <c r="I274" s="2"/>
      <c r="J274" s="16">
        <v>500</v>
      </c>
      <c r="K274" s="2"/>
      <c r="L274" s="13">
        <f t="shared" si="70"/>
        <v>0</v>
      </c>
      <c r="M274" s="2"/>
      <c r="N274" s="12">
        <f t="shared" si="71"/>
        <v>0</v>
      </c>
      <c r="O274" s="2"/>
      <c r="P274" s="12">
        <v>500</v>
      </c>
      <c r="R274" s="2"/>
    </row>
    <row r="275" spans="1:18" x14ac:dyDescent="0.25">
      <c r="A275" t="s">
        <v>167</v>
      </c>
      <c r="B275" t="s">
        <v>15</v>
      </c>
      <c r="C275" t="s">
        <v>16</v>
      </c>
      <c r="D275" s="47">
        <v>9000</v>
      </c>
      <c r="E275" s="2"/>
      <c r="F275" s="37">
        <f t="shared" si="68"/>
        <v>0</v>
      </c>
      <c r="G275" s="2"/>
      <c r="H275" s="12">
        <f t="shared" si="69"/>
        <v>0</v>
      </c>
      <c r="I275" s="2"/>
      <c r="J275" s="16">
        <v>9000</v>
      </c>
      <c r="K275" s="2"/>
      <c r="L275" s="13">
        <f t="shared" si="70"/>
        <v>0</v>
      </c>
      <c r="M275" s="2"/>
      <c r="N275" s="12">
        <f t="shared" si="71"/>
        <v>0</v>
      </c>
      <c r="O275" s="2"/>
      <c r="P275" s="12">
        <v>9000</v>
      </c>
      <c r="R275" s="2"/>
    </row>
    <row r="276" spans="1:18" x14ac:dyDescent="0.25">
      <c r="A276" t="s">
        <v>167</v>
      </c>
      <c r="B276" t="s">
        <v>19</v>
      </c>
      <c r="C276" t="s">
        <v>20</v>
      </c>
      <c r="D276" s="47">
        <v>75</v>
      </c>
      <c r="E276" s="2"/>
      <c r="F276" s="37">
        <f t="shared" si="68"/>
        <v>0</v>
      </c>
      <c r="G276" s="2"/>
      <c r="H276" s="12">
        <f t="shared" si="69"/>
        <v>0</v>
      </c>
      <c r="I276" s="2"/>
      <c r="J276" s="16">
        <v>75</v>
      </c>
      <c r="K276" s="2"/>
      <c r="L276" s="13">
        <f t="shared" si="70"/>
        <v>0</v>
      </c>
      <c r="M276" s="2"/>
      <c r="N276" s="12">
        <f t="shared" si="71"/>
        <v>0</v>
      </c>
      <c r="O276" s="2"/>
      <c r="P276" s="12">
        <v>75</v>
      </c>
      <c r="R276" s="2"/>
    </row>
    <row r="277" spans="1:18" x14ac:dyDescent="0.25">
      <c r="A277" t="s">
        <v>167</v>
      </c>
      <c r="B277" t="s">
        <v>153</v>
      </c>
      <c r="C277" t="s">
        <v>154</v>
      </c>
      <c r="D277" s="47">
        <v>6000</v>
      </c>
      <c r="E277" s="2"/>
      <c r="F277" s="37">
        <f t="shared" si="68"/>
        <v>0</v>
      </c>
      <c r="G277" s="2"/>
      <c r="H277" s="12">
        <f t="shared" si="69"/>
        <v>0</v>
      </c>
      <c r="I277" s="2"/>
      <c r="J277" s="16">
        <v>6000</v>
      </c>
      <c r="K277" s="2"/>
      <c r="L277" s="13">
        <f t="shared" si="70"/>
        <v>0.5</v>
      </c>
      <c r="M277" s="2"/>
      <c r="N277" s="12">
        <f t="shared" si="71"/>
        <v>2000</v>
      </c>
      <c r="O277" s="2"/>
      <c r="P277" s="12">
        <v>4000</v>
      </c>
      <c r="Q277" t="s">
        <v>370</v>
      </c>
      <c r="R277" s="2"/>
    </row>
    <row r="278" spans="1:18" x14ac:dyDescent="0.25">
      <c r="A278" t="s">
        <v>167</v>
      </c>
      <c r="B278" t="s">
        <v>40</v>
      </c>
      <c r="C278" t="s">
        <v>41</v>
      </c>
      <c r="D278" s="47">
        <v>420</v>
      </c>
      <c r="E278" s="2"/>
      <c r="F278" s="37">
        <f t="shared" si="68"/>
        <v>0</v>
      </c>
      <c r="G278" s="2"/>
      <c r="H278" s="12">
        <f t="shared" si="69"/>
        <v>0</v>
      </c>
      <c r="I278" s="2"/>
      <c r="J278" s="16">
        <v>420</v>
      </c>
      <c r="K278" s="2"/>
      <c r="L278" s="13">
        <f t="shared" si="70"/>
        <v>0</v>
      </c>
      <c r="M278" s="2"/>
      <c r="N278" s="12">
        <f t="shared" si="71"/>
        <v>0</v>
      </c>
      <c r="O278" s="2"/>
      <c r="P278" s="12">
        <v>420</v>
      </c>
      <c r="R278" s="2"/>
    </row>
    <row r="279" spans="1:18" x14ac:dyDescent="0.25">
      <c r="A279" t="s">
        <v>167</v>
      </c>
      <c r="B279" t="s">
        <v>155</v>
      </c>
      <c r="C279" t="s">
        <v>156</v>
      </c>
      <c r="D279" s="47">
        <v>5000</v>
      </c>
      <c r="E279" s="2"/>
      <c r="F279" s="37">
        <f t="shared" si="68"/>
        <v>0</v>
      </c>
      <c r="G279" s="2"/>
      <c r="H279" s="12">
        <f t="shared" si="69"/>
        <v>0</v>
      </c>
      <c r="I279" s="2"/>
      <c r="J279" s="16">
        <v>5000</v>
      </c>
      <c r="K279" s="2"/>
      <c r="L279" s="13">
        <f t="shared" si="70"/>
        <v>0</v>
      </c>
      <c r="M279" s="2"/>
      <c r="N279" s="12">
        <f t="shared" si="71"/>
        <v>0</v>
      </c>
      <c r="O279" s="2"/>
      <c r="P279" s="12">
        <v>5000</v>
      </c>
      <c r="R279" s="2"/>
    </row>
    <row r="280" spans="1:18" ht="120" x14ac:dyDescent="0.25">
      <c r="A280" s="1" t="s">
        <v>0</v>
      </c>
      <c r="B280" s="1" t="s">
        <v>1</v>
      </c>
      <c r="C280" s="1" t="s">
        <v>2</v>
      </c>
      <c r="D280" s="5" t="s">
        <v>337</v>
      </c>
      <c r="E280" s="1"/>
      <c r="F280" s="5" t="s">
        <v>409</v>
      </c>
      <c r="G280" s="1"/>
      <c r="H280" s="5" t="s">
        <v>410</v>
      </c>
      <c r="I280" s="1"/>
      <c r="J280" s="5" t="s">
        <v>336</v>
      </c>
      <c r="K280" s="1"/>
      <c r="L280" s="4" t="s">
        <v>344</v>
      </c>
      <c r="M280" s="1"/>
      <c r="N280" s="4" t="s">
        <v>342</v>
      </c>
      <c r="O280" s="1"/>
      <c r="P280" s="4" t="s">
        <v>335</v>
      </c>
      <c r="R280" s="1"/>
    </row>
    <row r="281" spans="1:18" x14ac:dyDescent="0.25">
      <c r="A281" t="s">
        <v>167</v>
      </c>
      <c r="B281" t="s">
        <v>169</v>
      </c>
      <c r="C281" t="s">
        <v>170</v>
      </c>
      <c r="D281" s="47">
        <v>6200</v>
      </c>
      <c r="E281" s="2"/>
      <c r="F281" s="37">
        <f t="shared" si="68"/>
        <v>0</v>
      </c>
      <c r="G281" s="2"/>
      <c r="H281" s="12">
        <f t="shared" si="69"/>
        <v>0</v>
      </c>
      <c r="I281" s="2"/>
      <c r="J281" s="16">
        <v>6200</v>
      </c>
      <c r="K281" s="2"/>
      <c r="L281" s="13">
        <f t="shared" si="70"/>
        <v>0</v>
      </c>
      <c r="M281" s="2"/>
      <c r="N281" s="12">
        <f t="shared" si="71"/>
        <v>0</v>
      </c>
      <c r="O281" s="2"/>
      <c r="P281" s="12">
        <v>6200</v>
      </c>
      <c r="R281" s="2"/>
    </row>
    <row r="282" spans="1:18" x14ac:dyDescent="0.25">
      <c r="A282" t="s">
        <v>167</v>
      </c>
      <c r="B282" t="s">
        <v>85</v>
      </c>
      <c r="C282" t="s">
        <v>86</v>
      </c>
      <c r="D282" s="47">
        <v>2400</v>
      </c>
      <c r="E282" s="2"/>
      <c r="F282" s="37">
        <f t="shared" si="68"/>
        <v>0</v>
      </c>
      <c r="G282" s="2"/>
      <c r="H282" s="12">
        <f t="shared" si="69"/>
        <v>0</v>
      </c>
      <c r="I282" s="2"/>
      <c r="J282" s="16">
        <v>2400</v>
      </c>
      <c r="K282" s="2"/>
      <c r="L282" s="13">
        <f t="shared" si="70"/>
        <v>0.22137404580152673</v>
      </c>
      <c r="M282" s="2"/>
      <c r="N282" s="12">
        <f t="shared" si="71"/>
        <v>435</v>
      </c>
      <c r="O282" s="2"/>
      <c r="P282" s="12">
        <v>1965</v>
      </c>
      <c r="R282" s="2"/>
    </row>
    <row r="283" spans="1:18" x14ac:dyDescent="0.25">
      <c r="A283" t="s">
        <v>167</v>
      </c>
      <c r="B283" t="s">
        <v>157</v>
      </c>
      <c r="C283" t="s">
        <v>158</v>
      </c>
      <c r="D283" s="47">
        <v>8420</v>
      </c>
      <c r="E283" s="2"/>
      <c r="F283" s="37">
        <f t="shared" si="68"/>
        <v>0</v>
      </c>
      <c r="G283" s="2"/>
      <c r="H283" s="12">
        <f t="shared" si="69"/>
        <v>0</v>
      </c>
      <c r="I283" s="2"/>
      <c r="J283" s="16">
        <v>8420</v>
      </c>
      <c r="K283" s="2"/>
      <c r="L283" s="13">
        <f t="shared" si="70"/>
        <v>0.60687022900763354</v>
      </c>
      <c r="M283" s="2"/>
      <c r="N283" s="12">
        <f t="shared" si="71"/>
        <v>3180</v>
      </c>
      <c r="O283" s="2"/>
      <c r="P283" s="12">
        <v>5240</v>
      </c>
      <c r="R283" s="2"/>
    </row>
    <row r="284" spans="1:18" x14ac:dyDescent="0.25">
      <c r="A284" t="s">
        <v>167</v>
      </c>
      <c r="B284" t="s">
        <v>159</v>
      </c>
      <c r="C284" t="s">
        <v>160</v>
      </c>
      <c r="D284" s="47">
        <v>4800</v>
      </c>
      <c r="E284" s="2"/>
      <c r="F284" s="37">
        <f t="shared" si="68"/>
        <v>0</v>
      </c>
      <c r="G284" s="2"/>
      <c r="H284" s="12">
        <f t="shared" si="69"/>
        <v>0</v>
      </c>
      <c r="I284" s="2"/>
      <c r="J284" s="16">
        <v>4800</v>
      </c>
      <c r="K284" s="2"/>
      <c r="L284" s="13">
        <f t="shared" si="70"/>
        <v>0.7142857142857143</v>
      </c>
      <c r="M284" s="2"/>
      <c r="N284" s="12">
        <f t="shared" si="71"/>
        <v>2000</v>
      </c>
      <c r="O284" s="2"/>
      <c r="P284" s="12">
        <v>2800</v>
      </c>
      <c r="R284" s="2"/>
    </row>
    <row r="285" spans="1:18" x14ac:dyDescent="0.25">
      <c r="A285" t="s">
        <v>167</v>
      </c>
      <c r="B285" t="s">
        <v>23</v>
      </c>
      <c r="C285" t="s">
        <v>24</v>
      </c>
      <c r="D285" s="47">
        <v>7500</v>
      </c>
      <c r="E285" s="2"/>
      <c r="F285" s="37">
        <f t="shared" si="68"/>
        <v>0</v>
      </c>
      <c r="G285" s="2"/>
      <c r="H285" s="12">
        <f t="shared" si="69"/>
        <v>0</v>
      </c>
      <c r="I285" s="2"/>
      <c r="J285" s="16">
        <v>7500</v>
      </c>
      <c r="K285" s="2"/>
      <c r="L285" s="13">
        <f t="shared" si="70"/>
        <v>0</v>
      </c>
      <c r="M285" s="2"/>
      <c r="N285" s="12">
        <f t="shared" si="71"/>
        <v>0</v>
      </c>
      <c r="O285" s="2"/>
      <c r="P285" s="12">
        <v>7500</v>
      </c>
      <c r="R285" s="2"/>
    </row>
    <row r="286" spans="1:18" x14ac:dyDescent="0.25">
      <c r="A286" t="s">
        <v>167</v>
      </c>
      <c r="B286" t="s">
        <v>44</v>
      </c>
      <c r="C286" t="s">
        <v>45</v>
      </c>
      <c r="D286" s="47">
        <v>150</v>
      </c>
      <c r="E286" s="2"/>
      <c r="F286" s="37">
        <f t="shared" si="68"/>
        <v>0</v>
      </c>
      <c r="G286" s="2"/>
      <c r="H286" s="12">
        <f t="shared" si="69"/>
        <v>0</v>
      </c>
      <c r="I286" s="2"/>
      <c r="J286" s="16">
        <v>150</v>
      </c>
      <c r="K286" s="2"/>
      <c r="L286" s="13">
        <f t="shared" si="70"/>
        <v>0</v>
      </c>
      <c r="M286" s="2"/>
      <c r="N286" s="12">
        <f t="shared" si="71"/>
        <v>0</v>
      </c>
      <c r="O286" s="2"/>
      <c r="P286" s="12">
        <v>150</v>
      </c>
      <c r="R286" s="2"/>
    </row>
    <row r="287" spans="1:18" x14ac:dyDescent="0.25">
      <c r="A287" t="s">
        <v>167</v>
      </c>
      <c r="B287" t="s">
        <v>171</v>
      </c>
      <c r="C287" t="s">
        <v>172</v>
      </c>
      <c r="D287" s="47">
        <v>75000</v>
      </c>
      <c r="E287" s="2"/>
      <c r="F287" s="37">
        <f t="shared" si="68"/>
        <v>-0.16666666666666666</v>
      </c>
      <c r="G287" s="2"/>
      <c r="H287" s="12">
        <f t="shared" si="69"/>
        <v>-15000</v>
      </c>
      <c r="I287" s="2"/>
      <c r="J287" s="16">
        <v>90000</v>
      </c>
      <c r="K287" s="2"/>
      <c r="L287" s="13">
        <f t="shared" si="70"/>
        <v>0.2</v>
      </c>
      <c r="M287" s="2"/>
      <c r="N287" s="12">
        <f t="shared" si="71"/>
        <v>15000</v>
      </c>
      <c r="O287" s="2"/>
      <c r="P287" s="12">
        <v>75000</v>
      </c>
      <c r="R287" s="2"/>
    </row>
    <row r="288" spans="1:18" x14ac:dyDescent="0.25">
      <c r="A288" t="s">
        <v>167</v>
      </c>
      <c r="B288" t="s">
        <v>121</v>
      </c>
      <c r="C288" t="s">
        <v>173</v>
      </c>
      <c r="D288" s="47">
        <v>599</v>
      </c>
      <c r="E288" s="2"/>
      <c r="F288" s="37">
        <f t="shared" si="68"/>
        <v>0.14095238095238094</v>
      </c>
      <c r="G288" s="2"/>
      <c r="H288" s="12">
        <f t="shared" si="69"/>
        <v>74</v>
      </c>
      <c r="I288" s="2"/>
      <c r="J288" s="16">
        <v>525</v>
      </c>
      <c r="K288" s="2"/>
      <c r="L288" s="13">
        <f t="shared" si="70"/>
        <v>0</v>
      </c>
      <c r="M288" s="2"/>
      <c r="N288" s="12">
        <f t="shared" si="71"/>
        <v>0</v>
      </c>
      <c r="O288" s="2"/>
      <c r="P288" s="12">
        <v>525</v>
      </c>
      <c r="R288" s="2"/>
    </row>
    <row r="289" spans="1:18" x14ac:dyDescent="0.25">
      <c r="A289" t="s">
        <v>167</v>
      </c>
      <c r="B289" t="s">
        <v>123</v>
      </c>
      <c r="C289" t="s">
        <v>124</v>
      </c>
      <c r="D289" s="47">
        <v>2508</v>
      </c>
      <c r="E289" s="2"/>
      <c r="F289" s="37">
        <f t="shared" si="68"/>
        <v>0</v>
      </c>
      <c r="G289" s="2"/>
      <c r="H289" s="12">
        <f t="shared" si="69"/>
        <v>0</v>
      </c>
      <c r="I289" s="2"/>
      <c r="J289" s="16">
        <v>2508</v>
      </c>
      <c r="K289" s="2"/>
      <c r="L289" s="13">
        <f t="shared" si="70"/>
        <v>0</v>
      </c>
      <c r="M289" s="2"/>
      <c r="N289" s="12">
        <f t="shared" si="71"/>
        <v>0</v>
      </c>
      <c r="O289" s="2"/>
      <c r="P289" s="12">
        <v>2508</v>
      </c>
      <c r="R289" s="2"/>
    </row>
    <row r="290" spans="1:18" x14ac:dyDescent="0.25">
      <c r="A290" t="s">
        <v>167</v>
      </c>
      <c r="B290" t="s">
        <v>125</v>
      </c>
      <c r="C290" t="s">
        <v>126</v>
      </c>
      <c r="D290" s="47">
        <f>ROUNDUP((360.88),0)</f>
        <v>361</v>
      </c>
      <c r="E290" s="2"/>
      <c r="F290" s="37">
        <f t="shared" si="68"/>
        <v>4.0345821325648415E-2</v>
      </c>
      <c r="G290" s="2"/>
      <c r="H290" s="12">
        <f t="shared" si="69"/>
        <v>14</v>
      </c>
      <c r="I290" s="2"/>
      <c r="J290" s="16">
        <v>347</v>
      </c>
      <c r="K290" s="2"/>
      <c r="L290" s="13">
        <f t="shared" si="70"/>
        <v>0</v>
      </c>
      <c r="M290" s="2"/>
      <c r="N290" s="12">
        <f t="shared" si="71"/>
        <v>0</v>
      </c>
      <c r="O290" s="2"/>
      <c r="P290" s="12">
        <v>347</v>
      </c>
      <c r="R290" s="2"/>
    </row>
    <row r="291" spans="1:18" x14ac:dyDescent="0.25">
      <c r="A291" t="s">
        <v>167</v>
      </c>
      <c r="B291" t="s">
        <v>69</v>
      </c>
      <c r="C291" t="s">
        <v>70</v>
      </c>
      <c r="D291" s="47">
        <v>40000</v>
      </c>
      <c r="E291" s="2"/>
      <c r="F291" s="37">
        <f t="shared" si="68"/>
        <v>0</v>
      </c>
      <c r="G291" s="2"/>
      <c r="H291" s="12">
        <f t="shared" si="69"/>
        <v>0</v>
      </c>
      <c r="I291" s="2"/>
      <c r="J291" s="16">
        <v>40000</v>
      </c>
      <c r="K291" s="2"/>
      <c r="L291" s="13">
        <f t="shared" si="70"/>
        <v>0.6</v>
      </c>
      <c r="M291" s="2"/>
      <c r="N291" s="12">
        <f t="shared" si="71"/>
        <v>15000</v>
      </c>
      <c r="O291" s="2"/>
      <c r="P291" s="12">
        <v>25000</v>
      </c>
      <c r="R291" s="2"/>
    </row>
    <row r="292" spans="1:18" x14ac:dyDescent="0.25">
      <c r="A292" t="s">
        <v>167</v>
      </c>
      <c r="B292" t="s">
        <v>174</v>
      </c>
      <c r="C292" t="s">
        <v>175</v>
      </c>
      <c r="D292" s="47">
        <v>16878</v>
      </c>
      <c r="E292" s="2"/>
      <c r="F292" s="37">
        <f t="shared" si="68"/>
        <v>0</v>
      </c>
      <c r="G292" s="2"/>
      <c r="H292" s="12">
        <f t="shared" si="69"/>
        <v>0</v>
      </c>
      <c r="I292" s="2"/>
      <c r="J292" s="16">
        <v>16878</v>
      </c>
      <c r="K292" s="2"/>
      <c r="L292" s="13">
        <f t="shared" si="70"/>
        <v>0.22127351664254705</v>
      </c>
      <c r="M292" s="2"/>
      <c r="N292" s="12">
        <f t="shared" si="71"/>
        <v>3058</v>
      </c>
      <c r="O292" s="2"/>
      <c r="P292" s="12">
        <v>13820</v>
      </c>
      <c r="Q292" t="s">
        <v>429</v>
      </c>
      <c r="R292" s="2"/>
    </row>
    <row r="293" spans="1:18" x14ac:dyDescent="0.25">
      <c r="A293" t="s">
        <v>167</v>
      </c>
      <c r="B293" t="s">
        <v>176</v>
      </c>
      <c r="C293" t="s">
        <v>177</v>
      </c>
      <c r="D293" s="47">
        <v>3500</v>
      </c>
      <c r="E293" s="2"/>
      <c r="F293" s="37">
        <f t="shared" si="68"/>
        <v>0</v>
      </c>
      <c r="G293" s="2"/>
      <c r="H293" s="12">
        <f t="shared" si="69"/>
        <v>0</v>
      </c>
      <c r="I293" s="2"/>
      <c r="J293" s="16">
        <v>3500</v>
      </c>
      <c r="K293" s="2"/>
      <c r="L293" s="13">
        <f t="shared" si="70"/>
        <v>0.16666666666666666</v>
      </c>
      <c r="M293" s="2"/>
      <c r="N293" s="12">
        <f t="shared" si="71"/>
        <v>500</v>
      </c>
      <c r="O293" s="2"/>
      <c r="P293" s="12">
        <v>3000</v>
      </c>
      <c r="R293" s="2"/>
    </row>
    <row r="294" spans="1:18" x14ac:dyDescent="0.25">
      <c r="A294" t="s">
        <v>167</v>
      </c>
      <c r="B294" t="s">
        <v>178</v>
      </c>
      <c r="C294" t="s">
        <v>179</v>
      </c>
      <c r="D294" s="47">
        <v>2500</v>
      </c>
      <c r="E294" s="2"/>
      <c r="F294" s="37">
        <f t="shared" si="68"/>
        <v>0</v>
      </c>
      <c r="G294" s="2"/>
      <c r="H294" s="12">
        <f t="shared" si="69"/>
        <v>0</v>
      </c>
      <c r="I294" s="2"/>
      <c r="J294" s="16">
        <v>2500</v>
      </c>
      <c r="K294" s="2"/>
      <c r="L294" s="13">
        <f t="shared" si="70"/>
        <v>0</v>
      </c>
      <c r="M294" s="2"/>
      <c r="N294" s="12">
        <f t="shared" si="71"/>
        <v>0</v>
      </c>
      <c r="O294" s="2"/>
      <c r="P294" s="12">
        <v>2500</v>
      </c>
      <c r="R294" s="2"/>
    </row>
    <row r="295" spans="1:18" x14ac:dyDescent="0.25">
      <c r="A295" t="s">
        <v>167</v>
      </c>
      <c r="B295" t="s">
        <v>180</v>
      </c>
      <c r="C295" t="s">
        <v>181</v>
      </c>
      <c r="D295" s="47">
        <v>40900</v>
      </c>
      <c r="E295" s="2"/>
      <c r="F295" s="37">
        <f t="shared" si="68"/>
        <v>0</v>
      </c>
      <c r="G295" s="2"/>
      <c r="H295" s="12">
        <f t="shared" si="69"/>
        <v>0</v>
      </c>
      <c r="I295" s="2"/>
      <c r="J295" s="16">
        <v>40900</v>
      </c>
      <c r="K295" s="2"/>
      <c r="L295" s="13">
        <f t="shared" si="70"/>
        <v>-4.9875717239296583E-2</v>
      </c>
      <c r="M295" s="2"/>
      <c r="N295" s="12">
        <f t="shared" si="71"/>
        <v>-2147</v>
      </c>
      <c r="O295" s="2"/>
      <c r="P295" s="12">
        <v>43047</v>
      </c>
      <c r="R295" s="2"/>
    </row>
    <row r="296" spans="1:18" x14ac:dyDescent="0.25">
      <c r="A296" t="s">
        <v>167</v>
      </c>
      <c r="B296" t="s">
        <v>182</v>
      </c>
      <c r="C296" t="s">
        <v>183</v>
      </c>
      <c r="D296" s="47">
        <v>12000</v>
      </c>
      <c r="E296" s="2"/>
      <c r="F296" s="37">
        <f t="shared" si="68"/>
        <v>0</v>
      </c>
      <c r="G296" s="2"/>
      <c r="H296" s="12">
        <f t="shared" si="69"/>
        <v>0</v>
      </c>
      <c r="I296" s="2"/>
      <c r="J296" s="16">
        <v>12000</v>
      </c>
      <c r="K296" s="2"/>
      <c r="L296" s="13">
        <f t="shared" si="70"/>
        <v>6.1946902654867256E-2</v>
      </c>
      <c r="M296" s="2"/>
      <c r="N296" s="12">
        <f t="shared" si="71"/>
        <v>700</v>
      </c>
      <c r="O296" s="2"/>
      <c r="P296" s="12">
        <v>11300</v>
      </c>
      <c r="R296" s="2"/>
    </row>
    <row r="297" spans="1:18" x14ac:dyDescent="0.25">
      <c r="A297" t="s">
        <v>167</v>
      </c>
      <c r="B297" t="s">
        <v>71</v>
      </c>
      <c r="C297" t="s">
        <v>72</v>
      </c>
      <c r="D297" s="47">
        <v>28600</v>
      </c>
      <c r="E297" s="2"/>
      <c r="F297" s="37">
        <f t="shared" si="68"/>
        <v>0</v>
      </c>
      <c r="G297" s="2"/>
      <c r="H297" s="12">
        <f t="shared" si="69"/>
        <v>0</v>
      </c>
      <c r="I297" s="2"/>
      <c r="J297" s="16">
        <v>28600</v>
      </c>
      <c r="K297" s="2"/>
      <c r="L297" s="13">
        <f t="shared" si="70"/>
        <v>-0.33949191685912239</v>
      </c>
      <c r="M297" s="2"/>
      <c r="N297" s="12">
        <f t="shared" si="71"/>
        <v>-14700</v>
      </c>
      <c r="O297" s="2"/>
      <c r="P297" s="12">
        <v>43300</v>
      </c>
      <c r="R297" s="2"/>
    </row>
    <row r="298" spans="1:18" x14ac:dyDescent="0.25">
      <c r="D298" s="2"/>
      <c r="E298" s="2"/>
      <c r="F298" s="2"/>
      <c r="G298" s="2"/>
      <c r="H298" s="2"/>
      <c r="I298" s="2"/>
      <c r="J298" s="2"/>
      <c r="K298" s="2"/>
      <c r="M298" s="2"/>
      <c r="O298" s="2"/>
      <c r="R298" s="2"/>
    </row>
    <row r="299" spans="1:18" x14ac:dyDescent="0.25">
      <c r="A299" t="s">
        <v>5</v>
      </c>
      <c r="B299" t="s">
        <v>5</v>
      </c>
      <c r="C299" s="1" t="s">
        <v>367</v>
      </c>
      <c r="D299" s="8">
        <f>SUM(D266:D297)</f>
        <v>1018496</v>
      </c>
      <c r="E299" s="2"/>
      <c r="F299" s="15">
        <f>H299/J299</f>
        <v>9.5543768839389531E-3</v>
      </c>
      <c r="G299" s="2"/>
      <c r="H299" s="8">
        <f>SUM(H266:H297)</f>
        <v>9639</v>
      </c>
      <c r="I299" s="2"/>
      <c r="J299" s="8">
        <f>SUM(J266:J297)</f>
        <v>1008857</v>
      </c>
      <c r="K299" s="2"/>
      <c r="L299" s="15">
        <f>N299/P299</f>
        <v>0.34806166953509998</v>
      </c>
      <c r="M299" s="2"/>
      <c r="N299" s="8">
        <f>SUM(N266:N297)</f>
        <v>260481</v>
      </c>
      <c r="O299" s="2"/>
      <c r="P299" s="8">
        <f>SUM(P266:P297)</f>
        <v>748376</v>
      </c>
      <c r="R299" s="2"/>
    </row>
    <row r="300" spans="1:18" x14ac:dyDescent="0.25">
      <c r="D300" s="2"/>
      <c r="E300" s="2"/>
      <c r="F300" s="2"/>
      <c r="G300" s="2"/>
      <c r="H300" s="2"/>
      <c r="I300" s="2"/>
      <c r="J300" s="2"/>
      <c r="K300" s="2"/>
      <c r="M300" s="2"/>
      <c r="O300" s="2"/>
      <c r="R300" s="2"/>
    </row>
    <row r="301" spans="1:18" x14ac:dyDescent="0.25">
      <c r="A301" t="s">
        <v>184</v>
      </c>
      <c r="B301" t="s">
        <v>185</v>
      </c>
      <c r="C301" t="s">
        <v>186</v>
      </c>
      <c r="D301" s="47">
        <f>ROUNDUP((340609.72),0)</f>
        <v>340610</v>
      </c>
      <c r="E301" s="2"/>
      <c r="F301" s="37">
        <f t="shared" ref="F301:F306" si="72">H301/J301</f>
        <v>0</v>
      </c>
      <c r="G301" s="2"/>
      <c r="H301" s="12">
        <f t="shared" ref="H301:H306" si="73">D301-J301</f>
        <v>0</v>
      </c>
      <c r="I301" s="2"/>
      <c r="J301" s="16">
        <f>ROUNDUP((340609.72),0)</f>
        <v>340610</v>
      </c>
      <c r="K301" s="2"/>
      <c r="L301" s="13">
        <f t="shared" ref="L301:L306" si="74">N301/P301</f>
        <v>1.7879609236552938E-2</v>
      </c>
      <c r="M301" s="2"/>
      <c r="N301" s="12">
        <f t="shared" ref="N301:N306" si="75">J301-P301</f>
        <v>5983</v>
      </c>
      <c r="O301" s="2"/>
      <c r="P301" s="12">
        <v>334627</v>
      </c>
      <c r="R301" s="2"/>
    </row>
    <row r="302" spans="1:18" x14ac:dyDescent="0.25">
      <c r="A302" t="s">
        <v>184</v>
      </c>
      <c r="B302" t="s">
        <v>30</v>
      </c>
      <c r="C302" t="s">
        <v>31</v>
      </c>
      <c r="D302" s="47">
        <f>ROUNDUP((1657.68),0)</f>
        <v>1658</v>
      </c>
      <c r="E302" s="2"/>
      <c r="F302" s="37">
        <f t="shared" si="72"/>
        <v>0</v>
      </c>
      <c r="G302" s="2"/>
      <c r="H302" s="12">
        <f t="shared" si="73"/>
        <v>0</v>
      </c>
      <c r="I302" s="2"/>
      <c r="J302" s="16">
        <f>ROUNDUP((1657.68),0)</f>
        <v>1658</v>
      </c>
      <c r="K302" s="2"/>
      <c r="L302" s="13">
        <f t="shared" si="74"/>
        <v>3.0453697949036667E-2</v>
      </c>
      <c r="M302" s="2"/>
      <c r="N302" s="12">
        <f t="shared" si="75"/>
        <v>49</v>
      </c>
      <c r="O302" s="2"/>
      <c r="P302" s="12">
        <v>1609</v>
      </c>
      <c r="R302" s="2"/>
    </row>
    <row r="303" spans="1:18" x14ac:dyDescent="0.25">
      <c r="A303" t="s">
        <v>184</v>
      </c>
      <c r="B303" t="s">
        <v>34</v>
      </c>
      <c r="C303" t="s">
        <v>35</v>
      </c>
      <c r="D303" s="47">
        <f>ROUNDUP((8.12),0)</f>
        <v>9</v>
      </c>
      <c r="E303" s="2"/>
      <c r="F303" s="37">
        <f t="shared" si="72"/>
        <v>0</v>
      </c>
      <c r="G303" s="2"/>
      <c r="H303" s="12">
        <f t="shared" si="73"/>
        <v>0</v>
      </c>
      <c r="I303" s="2"/>
      <c r="J303" s="16">
        <f>ROUNDUP((8.12),0)</f>
        <v>9</v>
      </c>
      <c r="K303" s="2"/>
      <c r="L303" s="13">
        <f t="shared" si="74"/>
        <v>-0.1</v>
      </c>
      <c r="M303" s="2"/>
      <c r="N303" s="12">
        <f t="shared" si="75"/>
        <v>-1</v>
      </c>
      <c r="O303" s="2"/>
      <c r="P303" s="12">
        <v>10</v>
      </c>
      <c r="R303" s="2"/>
    </row>
    <row r="304" spans="1:18" x14ac:dyDescent="0.25">
      <c r="A304" t="s">
        <v>184</v>
      </c>
      <c r="B304" t="s">
        <v>9</v>
      </c>
      <c r="C304" t="s">
        <v>10</v>
      </c>
      <c r="D304" s="47">
        <f>ROUNDUP((55.45),0)</f>
        <v>56</v>
      </c>
      <c r="E304" s="2"/>
      <c r="F304" s="37">
        <f t="shared" si="72"/>
        <v>0</v>
      </c>
      <c r="G304" s="2"/>
      <c r="H304" s="12">
        <f t="shared" si="73"/>
        <v>0</v>
      </c>
      <c r="I304" s="2"/>
      <c r="J304" s="16">
        <f>ROUNDUP((55.45),0)</f>
        <v>56</v>
      </c>
      <c r="K304" s="2"/>
      <c r="L304" s="13">
        <f t="shared" si="74"/>
        <v>-1.7543859649122806E-2</v>
      </c>
      <c r="M304" s="2"/>
      <c r="N304" s="12">
        <f t="shared" si="75"/>
        <v>-1</v>
      </c>
      <c r="O304" s="2"/>
      <c r="P304" s="12">
        <v>57</v>
      </c>
      <c r="R304" s="2"/>
    </row>
    <row r="305" spans="1:18" x14ac:dyDescent="0.25">
      <c r="A305" t="s">
        <v>184</v>
      </c>
      <c r="B305" s="20" t="s">
        <v>36</v>
      </c>
      <c r="C305" t="s">
        <v>430</v>
      </c>
      <c r="D305" s="47">
        <f>ROUNDUP((169.08),0)</f>
        <v>170</v>
      </c>
      <c r="E305" s="2"/>
      <c r="F305" s="37">
        <f t="shared" si="72"/>
        <v>0</v>
      </c>
      <c r="G305" s="2"/>
      <c r="H305" s="12">
        <f t="shared" si="73"/>
        <v>0</v>
      </c>
      <c r="I305" s="2"/>
      <c r="J305" s="16">
        <f>ROUNDUP((169.08),0)</f>
        <v>170</v>
      </c>
      <c r="K305" s="2"/>
      <c r="L305" s="13">
        <v>1</v>
      </c>
      <c r="M305" s="2"/>
      <c r="N305" s="12">
        <f t="shared" si="75"/>
        <v>170</v>
      </c>
      <c r="O305" s="2"/>
      <c r="P305" s="12">
        <v>0</v>
      </c>
      <c r="R305" s="2"/>
    </row>
    <row r="306" spans="1:18" x14ac:dyDescent="0.25">
      <c r="A306" t="s">
        <v>184</v>
      </c>
      <c r="B306" t="s">
        <v>11</v>
      </c>
      <c r="C306" t="s">
        <v>12</v>
      </c>
      <c r="D306" s="47">
        <f>ROUNDUP((126.81),0)</f>
        <v>127</v>
      </c>
      <c r="E306" s="2"/>
      <c r="F306" s="37">
        <f t="shared" si="72"/>
        <v>0</v>
      </c>
      <c r="G306" s="2"/>
      <c r="H306" s="12">
        <f t="shared" si="73"/>
        <v>0</v>
      </c>
      <c r="I306" s="2"/>
      <c r="J306" s="16">
        <f>ROUNDUP((126.81),0)</f>
        <v>127</v>
      </c>
      <c r="K306" s="2"/>
      <c r="L306" s="13">
        <f t="shared" si="74"/>
        <v>3.2520325203252036E-2</v>
      </c>
      <c r="M306" s="2"/>
      <c r="N306" s="12">
        <f t="shared" si="75"/>
        <v>4</v>
      </c>
      <c r="O306" s="2"/>
      <c r="P306" s="12">
        <v>123</v>
      </c>
      <c r="R306" s="2"/>
    </row>
    <row r="307" spans="1:18" x14ac:dyDescent="0.25">
      <c r="D307" s="2"/>
      <c r="E307" s="2"/>
      <c r="F307" s="2"/>
      <c r="G307" s="2"/>
      <c r="H307" s="2"/>
      <c r="I307" s="2"/>
      <c r="J307" s="2"/>
      <c r="K307" s="2"/>
      <c r="M307" s="2"/>
      <c r="O307" s="2"/>
      <c r="R307" s="2"/>
    </row>
    <row r="308" spans="1:18" x14ac:dyDescent="0.25">
      <c r="A308" t="s">
        <v>5</v>
      </c>
      <c r="B308" t="s">
        <v>5</v>
      </c>
      <c r="C308" s="1" t="s">
        <v>371</v>
      </c>
      <c r="D308" s="8">
        <f>SUM(D301:D306)</f>
        <v>342630</v>
      </c>
      <c r="E308" s="2"/>
      <c r="F308" s="15">
        <f>H308/J308</f>
        <v>0</v>
      </c>
      <c r="G308" s="2"/>
      <c r="H308" s="8">
        <f>SUM(H301:H306)</f>
        <v>0</v>
      </c>
      <c r="I308" s="2"/>
      <c r="J308" s="8">
        <f>SUM(J301:J306)</f>
        <v>342630</v>
      </c>
      <c r="K308" s="2"/>
      <c r="L308" s="15">
        <f>N308/P308</f>
        <v>1.8440905280804692E-2</v>
      </c>
      <c r="M308" s="2"/>
      <c r="N308" s="8">
        <f>SUM(N301:N306)</f>
        <v>6204</v>
      </c>
      <c r="O308" s="2"/>
      <c r="P308" s="8">
        <v>336426</v>
      </c>
      <c r="R308" s="2"/>
    </row>
    <row r="309" spans="1:18" x14ac:dyDescent="0.25">
      <c r="D309" s="2"/>
      <c r="E309" s="2"/>
      <c r="F309" s="2"/>
      <c r="G309" s="2"/>
      <c r="H309" s="2"/>
      <c r="I309" s="2"/>
      <c r="J309" s="2"/>
      <c r="K309" s="2"/>
      <c r="M309" s="2"/>
      <c r="O309" s="2"/>
      <c r="R309" s="2"/>
    </row>
    <row r="310" spans="1:18" x14ac:dyDescent="0.25">
      <c r="A310" t="s">
        <v>187</v>
      </c>
      <c r="B310" t="s">
        <v>30</v>
      </c>
      <c r="C310" t="s">
        <v>31</v>
      </c>
      <c r="D310" s="47">
        <f>ROUNDUP((56778.58),0)</f>
        <v>56779</v>
      </c>
      <c r="E310" s="2"/>
      <c r="F310" s="37">
        <f t="shared" ref="F310:F326" si="76">H310/J310</f>
        <v>0</v>
      </c>
      <c r="G310" s="2"/>
      <c r="H310" s="12">
        <f t="shared" ref="H310:H326" si="77">D310-J310</f>
        <v>0</v>
      </c>
      <c r="I310" s="2"/>
      <c r="J310" s="16">
        <f>ROUNDUP((51289.06+5489.52),0)</f>
        <v>56779</v>
      </c>
      <c r="K310" s="2"/>
      <c r="L310" s="13">
        <f t="shared" ref="L310:L325" si="78">N310/P310</f>
        <v>3.0004535147392292E-2</v>
      </c>
      <c r="M310" s="2"/>
      <c r="N310" s="12">
        <f t="shared" ref="N310:N326" si="79">J310-P310</f>
        <v>1654</v>
      </c>
      <c r="O310" s="2"/>
      <c r="P310" s="12">
        <v>55125</v>
      </c>
      <c r="Q310" t="s">
        <v>355</v>
      </c>
      <c r="R310" s="2"/>
    </row>
    <row r="311" spans="1:18" x14ac:dyDescent="0.25">
      <c r="A311" t="s">
        <v>187</v>
      </c>
      <c r="B311" t="s">
        <v>61</v>
      </c>
      <c r="C311" t="s">
        <v>75</v>
      </c>
      <c r="D311" s="47">
        <v>2160</v>
      </c>
      <c r="E311" s="2"/>
      <c r="F311" s="37">
        <f t="shared" si="76"/>
        <v>0</v>
      </c>
      <c r="G311" s="2"/>
      <c r="H311" s="12">
        <f t="shared" si="77"/>
        <v>0</v>
      </c>
      <c r="I311" s="2"/>
      <c r="J311" s="16">
        <v>2160</v>
      </c>
      <c r="K311" s="2"/>
      <c r="L311" s="13">
        <f t="shared" si="78"/>
        <v>0</v>
      </c>
      <c r="M311" s="2"/>
      <c r="N311" s="12">
        <f t="shared" si="79"/>
        <v>0</v>
      </c>
      <c r="O311" s="2"/>
      <c r="P311" s="12">
        <v>2160</v>
      </c>
      <c r="R311" s="2"/>
    </row>
    <row r="312" spans="1:18" x14ac:dyDescent="0.25">
      <c r="A312" t="s">
        <v>187</v>
      </c>
      <c r="B312" t="s">
        <v>34</v>
      </c>
      <c r="C312" t="s">
        <v>35</v>
      </c>
      <c r="D312" s="47">
        <f>ROUNDUP((85.7),0)</f>
        <v>86</v>
      </c>
      <c r="E312" s="2"/>
      <c r="F312" s="37">
        <f t="shared" si="76"/>
        <v>0</v>
      </c>
      <c r="G312" s="2"/>
      <c r="H312" s="12">
        <f t="shared" si="77"/>
        <v>0</v>
      </c>
      <c r="I312" s="2"/>
      <c r="J312" s="16">
        <f>ROUNDUP((85.7),0)</f>
        <v>86</v>
      </c>
      <c r="K312" s="2"/>
      <c r="L312" s="13">
        <f t="shared" si="78"/>
        <v>-0.23214285714285715</v>
      </c>
      <c r="M312" s="2"/>
      <c r="N312" s="12">
        <f t="shared" si="79"/>
        <v>-26</v>
      </c>
      <c r="O312" s="2"/>
      <c r="P312" s="12">
        <v>112</v>
      </c>
      <c r="R312" s="2"/>
    </row>
    <row r="313" spans="1:18" x14ac:dyDescent="0.25">
      <c r="A313" t="s">
        <v>187</v>
      </c>
      <c r="B313" t="s">
        <v>9</v>
      </c>
      <c r="C313" t="s">
        <v>10</v>
      </c>
      <c r="D313" s="47">
        <f>ROUNDUP((1047.07),0)</f>
        <v>1048</v>
      </c>
      <c r="E313" s="2"/>
      <c r="F313" s="37">
        <f t="shared" si="76"/>
        <v>0</v>
      </c>
      <c r="G313" s="2"/>
      <c r="H313" s="12">
        <f t="shared" si="77"/>
        <v>0</v>
      </c>
      <c r="I313" s="2"/>
      <c r="J313" s="16">
        <f>ROUNDUP((1047.07),0)</f>
        <v>1048</v>
      </c>
      <c r="K313" s="2"/>
      <c r="L313" s="13">
        <f t="shared" si="78"/>
        <v>0.1868629671574179</v>
      </c>
      <c r="M313" s="2"/>
      <c r="N313" s="12">
        <f t="shared" si="79"/>
        <v>165</v>
      </c>
      <c r="O313" s="2"/>
      <c r="P313" s="12">
        <v>883</v>
      </c>
      <c r="R313" s="2"/>
    </row>
    <row r="314" spans="1:18" x14ac:dyDescent="0.25">
      <c r="A314" t="s">
        <v>187</v>
      </c>
      <c r="B314" t="s">
        <v>36</v>
      </c>
      <c r="C314" t="s">
        <v>37</v>
      </c>
      <c r="D314" s="47">
        <f>ROUNDUP((5791.41),0)</f>
        <v>5792</v>
      </c>
      <c r="E314" s="2"/>
      <c r="F314" s="37">
        <f t="shared" si="76"/>
        <v>0</v>
      </c>
      <c r="G314" s="2"/>
      <c r="H314" s="12">
        <f t="shared" si="77"/>
        <v>0</v>
      </c>
      <c r="I314" s="2"/>
      <c r="J314" s="16">
        <f>ROUNDUP((5791.41),0)</f>
        <v>5792</v>
      </c>
      <c r="K314" s="2"/>
      <c r="L314" s="13">
        <f t="shared" si="78"/>
        <v>2.0257178087017789E-2</v>
      </c>
      <c r="M314" s="2"/>
      <c r="N314" s="12">
        <f t="shared" si="79"/>
        <v>115</v>
      </c>
      <c r="O314" s="2"/>
      <c r="P314" s="12">
        <v>5677</v>
      </c>
      <c r="R314" s="2"/>
    </row>
    <row r="315" spans="1:18" x14ac:dyDescent="0.25">
      <c r="A315" t="s">
        <v>187</v>
      </c>
      <c r="B315" t="s">
        <v>38</v>
      </c>
      <c r="C315" t="s">
        <v>39</v>
      </c>
      <c r="D315" s="47">
        <f>ROUNDUP((27269.05),0)</f>
        <v>27270</v>
      </c>
      <c r="E315" s="2"/>
      <c r="F315" s="37">
        <f t="shared" si="76"/>
        <v>0</v>
      </c>
      <c r="G315" s="2"/>
      <c r="H315" s="12">
        <f t="shared" si="77"/>
        <v>0</v>
      </c>
      <c r="I315" s="2"/>
      <c r="J315" s="16">
        <f>ROUNDUP((27269.05),0)</f>
        <v>27270</v>
      </c>
      <c r="K315" s="2"/>
      <c r="L315" s="13">
        <f t="shared" si="78"/>
        <v>9.7295992274263637E-2</v>
      </c>
      <c r="M315" s="2"/>
      <c r="N315" s="12">
        <f t="shared" si="79"/>
        <v>2418</v>
      </c>
      <c r="O315" s="2"/>
      <c r="P315" s="12">
        <v>24852</v>
      </c>
      <c r="R315" s="2"/>
    </row>
    <row r="316" spans="1:18" x14ac:dyDescent="0.25">
      <c r="A316" t="s">
        <v>187</v>
      </c>
      <c r="B316" t="s">
        <v>11</v>
      </c>
      <c r="C316" t="s">
        <v>12</v>
      </c>
      <c r="D316" s="47">
        <f>ROUNDUP((4508.8),0)</f>
        <v>4509</v>
      </c>
      <c r="E316" s="2"/>
      <c r="F316" s="37">
        <f t="shared" si="76"/>
        <v>0</v>
      </c>
      <c r="G316" s="2"/>
      <c r="H316" s="12">
        <f t="shared" si="77"/>
        <v>0</v>
      </c>
      <c r="I316" s="2"/>
      <c r="J316" s="16">
        <f>ROUNDUP((4508.8),0)</f>
        <v>4509</v>
      </c>
      <c r="K316" s="2"/>
      <c r="L316" s="13">
        <f t="shared" si="78"/>
        <v>2.898219990871748E-2</v>
      </c>
      <c r="M316" s="2"/>
      <c r="N316" s="12">
        <f t="shared" si="79"/>
        <v>127</v>
      </c>
      <c r="O316" s="2"/>
      <c r="P316" s="12">
        <v>4382</v>
      </c>
      <c r="R316" s="2"/>
    </row>
    <row r="317" spans="1:18" x14ac:dyDescent="0.25">
      <c r="A317" t="s">
        <v>187</v>
      </c>
      <c r="B317" t="s">
        <v>15</v>
      </c>
      <c r="C317" t="s">
        <v>16</v>
      </c>
      <c r="D317" s="47">
        <v>1000</v>
      </c>
      <c r="E317" s="2"/>
      <c r="F317" s="37">
        <f t="shared" si="76"/>
        <v>0</v>
      </c>
      <c r="G317" s="2"/>
      <c r="H317" s="12">
        <f t="shared" si="77"/>
        <v>0</v>
      </c>
      <c r="I317" s="2"/>
      <c r="J317" s="16">
        <v>1000</v>
      </c>
      <c r="K317" s="2"/>
      <c r="L317" s="13">
        <f t="shared" si="78"/>
        <v>0</v>
      </c>
      <c r="M317" s="2"/>
      <c r="N317" s="12">
        <f t="shared" si="79"/>
        <v>0</v>
      </c>
      <c r="O317" s="2"/>
      <c r="P317" s="12">
        <v>1000</v>
      </c>
      <c r="R317" s="2"/>
    </row>
    <row r="318" spans="1:18" x14ac:dyDescent="0.25">
      <c r="A318" t="s">
        <v>187</v>
      </c>
      <c r="B318" t="s">
        <v>153</v>
      </c>
      <c r="C318" t="s">
        <v>154</v>
      </c>
      <c r="D318" s="47">
        <v>600</v>
      </c>
      <c r="E318" s="2"/>
      <c r="F318" s="37">
        <f t="shared" si="76"/>
        <v>0</v>
      </c>
      <c r="G318" s="2"/>
      <c r="H318" s="12">
        <f t="shared" si="77"/>
        <v>0</v>
      </c>
      <c r="I318" s="2"/>
      <c r="J318" s="16">
        <v>600</v>
      </c>
      <c r="K318" s="2"/>
      <c r="L318" s="13">
        <f t="shared" si="78"/>
        <v>0</v>
      </c>
      <c r="M318" s="2"/>
      <c r="N318" s="12">
        <f t="shared" si="79"/>
        <v>0</v>
      </c>
      <c r="O318" s="2"/>
      <c r="P318" s="12">
        <v>600</v>
      </c>
      <c r="R318" s="2"/>
    </row>
    <row r="319" spans="1:18" x14ac:dyDescent="0.25">
      <c r="A319" t="s">
        <v>187</v>
      </c>
      <c r="B319" t="s">
        <v>40</v>
      </c>
      <c r="C319" t="s">
        <v>41</v>
      </c>
      <c r="D319" s="47">
        <v>720</v>
      </c>
      <c r="E319" s="2"/>
      <c r="F319" s="37">
        <f t="shared" si="76"/>
        <v>0</v>
      </c>
      <c r="G319" s="2"/>
      <c r="H319" s="12">
        <f t="shared" si="77"/>
        <v>0</v>
      </c>
      <c r="I319" s="2"/>
      <c r="J319" s="16">
        <v>720</v>
      </c>
      <c r="K319" s="2"/>
      <c r="L319" s="13">
        <f t="shared" si="78"/>
        <v>0.152</v>
      </c>
      <c r="M319" s="2"/>
      <c r="N319" s="12">
        <f t="shared" si="79"/>
        <v>95</v>
      </c>
      <c r="O319" s="2"/>
      <c r="P319" s="12">
        <v>625</v>
      </c>
      <c r="R319" s="2"/>
    </row>
    <row r="320" spans="1:18" x14ac:dyDescent="0.25">
      <c r="A320" t="s">
        <v>187</v>
      </c>
      <c r="B320" t="s">
        <v>85</v>
      </c>
      <c r="C320" t="s">
        <v>86</v>
      </c>
      <c r="D320" s="47">
        <v>3968</v>
      </c>
      <c r="E320" s="2"/>
      <c r="F320" s="37">
        <f t="shared" si="76"/>
        <v>0</v>
      </c>
      <c r="G320" s="2"/>
      <c r="H320" s="12">
        <f t="shared" si="77"/>
        <v>0</v>
      </c>
      <c r="I320" s="2"/>
      <c r="J320" s="16">
        <v>3968</v>
      </c>
      <c r="K320" s="2"/>
      <c r="L320" s="13">
        <f t="shared" si="78"/>
        <v>0</v>
      </c>
      <c r="M320" s="2"/>
      <c r="N320" s="12">
        <f t="shared" si="79"/>
        <v>0</v>
      </c>
      <c r="O320" s="2"/>
      <c r="P320" s="12">
        <v>3968</v>
      </c>
      <c r="R320" s="2"/>
    </row>
    <row r="321" spans="1:18" x14ac:dyDescent="0.25">
      <c r="A321" t="s">
        <v>187</v>
      </c>
      <c r="B321" t="s">
        <v>159</v>
      </c>
      <c r="C321" t="s">
        <v>160</v>
      </c>
      <c r="D321" s="47">
        <v>700</v>
      </c>
      <c r="E321" s="2"/>
      <c r="F321" s="37">
        <f t="shared" si="76"/>
        <v>0</v>
      </c>
      <c r="G321" s="2"/>
      <c r="H321" s="12">
        <f t="shared" si="77"/>
        <v>0</v>
      </c>
      <c r="I321" s="2"/>
      <c r="J321" s="16">
        <v>700</v>
      </c>
      <c r="K321" s="2"/>
      <c r="L321" s="13">
        <f t="shared" si="78"/>
        <v>0</v>
      </c>
      <c r="M321" s="2"/>
      <c r="N321" s="12">
        <f t="shared" si="79"/>
        <v>0</v>
      </c>
      <c r="O321" s="2"/>
      <c r="P321" s="12">
        <v>700</v>
      </c>
      <c r="R321" s="2"/>
    </row>
    <row r="322" spans="1:18" x14ac:dyDescent="0.25">
      <c r="A322" t="s">
        <v>187</v>
      </c>
      <c r="B322" t="s">
        <v>23</v>
      </c>
      <c r="C322" t="s">
        <v>24</v>
      </c>
      <c r="D322" s="47">
        <v>400</v>
      </c>
      <c r="E322" s="2"/>
      <c r="F322" s="37">
        <f t="shared" si="76"/>
        <v>0</v>
      </c>
      <c r="G322" s="2"/>
      <c r="H322" s="12">
        <f t="shared" si="77"/>
        <v>0</v>
      </c>
      <c r="I322" s="2"/>
      <c r="J322" s="16">
        <v>400</v>
      </c>
      <c r="K322" s="2"/>
      <c r="L322" s="13">
        <f t="shared" si="78"/>
        <v>0</v>
      </c>
      <c r="M322" s="2"/>
      <c r="N322" s="12">
        <f t="shared" si="79"/>
        <v>0</v>
      </c>
      <c r="O322" s="2"/>
      <c r="P322" s="12">
        <v>400</v>
      </c>
      <c r="R322" s="2"/>
    </row>
    <row r="323" spans="1:18" x14ac:dyDescent="0.25">
      <c r="A323" t="s">
        <v>187</v>
      </c>
      <c r="B323" t="s">
        <v>188</v>
      </c>
      <c r="C323" t="s">
        <v>189</v>
      </c>
      <c r="D323" s="47">
        <v>14761</v>
      </c>
      <c r="E323" s="2"/>
      <c r="F323" s="37">
        <f t="shared" si="76"/>
        <v>0</v>
      </c>
      <c r="G323" s="2"/>
      <c r="H323" s="12">
        <f t="shared" si="77"/>
        <v>0</v>
      </c>
      <c r="I323" s="2"/>
      <c r="J323" s="16">
        <v>14761</v>
      </c>
      <c r="K323" s="2"/>
      <c r="L323" s="13">
        <f t="shared" si="78"/>
        <v>4.8292024714153822E-2</v>
      </c>
      <c r="M323" s="2"/>
      <c r="N323" s="12">
        <f t="shared" si="79"/>
        <v>680</v>
      </c>
      <c r="O323" s="2"/>
      <c r="P323" s="12">
        <v>14081</v>
      </c>
      <c r="R323" s="2"/>
    </row>
    <row r="324" spans="1:18" x14ac:dyDescent="0.25">
      <c r="A324" t="s">
        <v>187</v>
      </c>
      <c r="B324" t="s">
        <v>69</v>
      </c>
      <c r="C324" t="s">
        <v>70</v>
      </c>
      <c r="D324" s="47">
        <v>2000</v>
      </c>
      <c r="E324" s="2"/>
      <c r="F324" s="37">
        <f t="shared" si="76"/>
        <v>0</v>
      </c>
      <c r="G324" s="2"/>
      <c r="H324" s="12">
        <f t="shared" si="77"/>
        <v>0</v>
      </c>
      <c r="I324" s="2"/>
      <c r="J324" s="16">
        <v>2000</v>
      </c>
      <c r="K324" s="2"/>
      <c r="L324" s="13">
        <f t="shared" si="78"/>
        <v>1.1052631578947369</v>
      </c>
      <c r="M324" s="2"/>
      <c r="N324" s="12">
        <f t="shared" si="79"/>
        <v>1050</v>
      </c>
      <c r="O324" s="2"/>
      <c r="P324" s="12">
        <v>950</v>
      </c>
      <c r="R324" s="2"/>
    </row>
    <row r="325" spans="1:18" x14ac:dyDescent="0.25">
      <c r="A325" t="s">
        <v>187</v>
      </c>
      <c r="B325" t="s">
        <v>71</v>
      </c>
      <c r="C325" t="s">
        <v>72</v>
      </c>
      <c r="D325" s="47">
        <f>16500-16250</f>
        <v>250</v>
      </c>
      <c r="E325" s="2"/>
      <c r="F325" s="37">
        <f t="shared" si="76"/>
        <v>-0.98484848484848486</v>
      </c>
      <c r="G325" s="2"/>
      <c r="H325" s="12">
        <f t="shared" si="77"/>
        <v>-16250</v>
      </c>
      <c r="I325" s="2"/>
      <c r="J325" s="16">
        <v>16500</v>
      </c>
      <c r="K325" s="2"/>
      <c r="L325" s="13">
        <f t="shared" si="78"/>
        <v>65</v>
      </c>
      <c r="M325" s="2"/>
      <c r="N325" s="12">
        <f t="shared" si="79"/>
        <v>16250</v>
      </c>
      <c r="O325" s="2"/>
      <c r="P325" s="12">
        <v>250</v>
      </c>
      <c r="R325" s="2"/>
    </row>
    <row r="326" spans="1:18" x14ac:dyDescent="0.25">
      <c r="A326" t="s">
        <v>187</v>
      </c>
      <c r="B326" s="20" t="s">
        <v>165</v>
      </c>
      <c r="C326" t="s">
        <v>374</v>
      </c>
      <c r="D326" s="47">
        <v>0</v>
      </c>
      <c r="E326" s="2"/>
      <c r="F326" s="37">
        <f t="shared" si="76"/>
        <v>-1</v>
      </c>
      <c r="G326" s="2"/>
      <c r="H326" s="12">
        <f t="shared" si="77"/>
        <v>-45500</v>
      </c>
      <c r="I326" s="2"/>
      <c r="J326" s="16">
        <v>45500</v>
      </c>
      <c r="K326" s="2"/>
      <c r="L326" s="13">
        <v>1</v>
      </c>
      <c r="M326" s="2"/>
      <c r="N326" s="12">
        <f t="shared" si="79"/>
        <v>45500</v>
      </c>
      <c r="O326" s="2"/>
      <c r="P326" s="12">
        <v>0</v>
      </c>
      <c r="R326" s="2"/>
    </row>
    <row r="327" spans="1:18" x14ac:dyDescent="0.25">
      <c r="D327" s="2"/>
      <c r="E327" s="2"/>
      <c r="F327" s="2"/>
      <c r="G327" s="2"/>
      <c r="H327" s="2"/>
      <c r="I327" s="2"/>
      <c r="J327" s="2"/>
      <c r="K327" s="2"/>
      <c r="M327" s="2"/>
      <c r="O327" s="2"/>
      <c r="R327" s="2"/>
    </row>
    <row r="328" spans="1:18" x14ac:dyDescent="0.25">
      <c r="A328" t="s">
        <v>5</v>
      </c>
      <c r="B328" t="s">
        <v>5</v>
      </c>
      <c r="C328" s="1" t="s">
        <v>372</v>
      </c>
      <c r="D328" s="8">
        <f>SUM(D310:D326)</f>
        <v>122043</v>
      </c>
      <c r="E328" s="2"/>
      <c r="F328" s="41">
        <f>H328/J328</f>
        <v>-0.3359757988606748</v>
      </c>
      <c r="G328" s="2"/>
      <c r="H328" s="8">
        <f>SUM(H310:H326)</f>
        <v>-61750</v>
      </c>
      <c r="I328" s="2"/>
      <c r="J328" s="8">
        <f>SUM(J310:J326)</f>
        <v>183793</v>
      </c>
      <c r="K328" s="2"/>
      <c r="L328" s="15">
        <f>N328/P328</f>
        <v>0.5876387509178076</v>
      </c>
      <c r="M328" s="2"/>
      <c r="N328" s="8">
        <f>SUM(N310:N326)</f>
        <v>68028</v>
      </c>
      <c r="O328" s="2"/>
      <c r="P328" s="8">
        <f>SUM(P310:P326)</f>
        <v>115765</v>
      </c>
      <c r="R328" s="2"/>
    </row>
    <row r="329" spans="1:18" x14ac:dyDescent="0.25">
      <c r="D329" s="2"/>
      <c r="E329" s="2"/>
      <c r="F329" s="2"/>
      <c r="G329" s="2"/>
      <c r="H329" s="2"/>
      <c r="I329" s="2"/>
      <c r="J329" s="2"/>
      <c r="K329" s="2"/>
      <c r="M329" s="2"/>
      <c r="O329" s="2"/>
      <c r="R329" s="2"/>
    </row>
    <row r="330" spans="1:18" x14ac:dyDescent="0.25">
      <c r="A330" t="s">
        <v>190</v>
      </c>
      <c r="B330" t="s">
        <v>30</v>
      </c>
      <c r="C330" t="s">
        <v>31</v>
      </c>
      <c r="D330" s="47">
        <f>ROUNDUP((199285.86),0)</f>
        <v>199286</v>
      </c>
      <c r="E330" s="2"/>
      <c r="F330" s="37">
        <f t="shared" ref="F330:F347" si="80">H330/J330</f>
        <v>0</v>
      </c>
      <c r="G330" s="2"/>
      <c r="H330" s="12">
        <f t="shared" ref="H330:H347" si="81">D330-J330</f>
        <v>0</v>
      </c>
      <c r="I330" s="2"/>
      <c r="J330" s="16">
        <f>ROUNDUP((199285.86),0)</f>
        <v>199286</v>
      </c>
      <c r="K330" s="2"/>
      <c r="L330" s="13">
        <f t="shared" ref="L330:L347" si="82">N330/P330</f>
        <v>1.9454377106960706E-2</v>
      </c>
      <c r="M330" s="2"/>
      <c r="N330" s="12">
        <f t="shared" ref="N330:N347" si="83">J330-P330</f>
        <v>3803</v>
      </c>
      <c r="O330" s="2"/>
      <c r="P330" s="12">
        <v>195483</v>
      </c>
      <c r="R330" s="2"/>
    </row>
    <row r="331" spans="1:18" x14ac:dyDescent="0.25">
      <c r="A331" t="s">
        <v>190</v>
      </c>
      <c r="B331" t="s">
        <v>141</v>
      </c>
      <c r="C331" t="s">
        <v>142</v>
      </c>
      <c r="D331" s="47">
        <v>3500</v>
      </c>
      <c r="E331" s="2"/>
      <c r="F331" s="37">
        <f t="shared" si="80"/>
        <v>0</v>
      </c>
      <c r="G331" s="2"/>
      <c r="H331" s="12">
        <f t="shared" si="81"/>
        <v>0</v>
      </c>
      <c r="I331" s="2"/>
      <c r="J331" s="16">
        <v>3500</v>
      </c>
      <c r="K331" s="2"/>
      <c r="L331" s="13">
        <f t="shared" si="82"/>
        <v>0</v>
      </c>
      <c r="M331" s="2"/>
      <c r="N331" s="12">
        <f t="shared" si="83"/>
        <v>0</v>
      </c>
      <c r="O331" s="2"/>
      <c r="P331" s="12">
        <v>3500</v>
      </c>
      <c r="R331" s="2"/>
    </row>
    <row r="332" spans="1:18" x14ac:dyDescent="0.25">
      <c r="A332" t="s">
        <v>190</v>
      </c>
      <c r="B332" t="s">
        <v>59</v>
      </c>
      <c r="C332" t="s">
        <v>60</v>
      </c>
      <c r="D332" s="47">
        <v>21630</v>
      </c>
      <c r="E332" s="2"/>
      <c r="F332" s="37">
        <f t="shared" si="80"/>
        <v>0</v>
      </c>
      <c r="G332" s="2"/>
      <c r="H332" s="12">
        <f t="shared" si="81"/>
        <v>0</v>
      </c>
      <c r="I332" s="2"/>
      <c r="J332" s="16">
        <v>21630</v>
      </c>
      <c r="K332" s="2"/>
      <c r="L332" s="13">
        <f t="shared" si="82"/>
        <v>0</v>
      </c>
      <c r="M332" s="2"/>
      <c r="N332" s="12">
        <f t="shared" si="83"/>
        <v>0</v>
      </c>
      <c r="O332" s="2"/>
      <c r="P332" s="12">
        <v>21630</v>
      </c>
      <c r="R332" s="2"/>
    </row>
    <row r="333" spans="1:18" x14ac:dyDescent="0.25">
      <c r="A333" t="s">
        <v>190</v>
      </c>
      <c r="B333" t="s">
        <v>61</v>
      </c>
      <c r="C333" t="s">
        <v>62</v>
      </c>
      <c r="D333" s="47">
        <v>1350</v>
      </c>
      <c r="E333" s="2"/>
      <c r="F333" s="37">
        <f t="shared" si="80"/>
        <v>0</v>
      </c>
      <c r="G333" s="2"/>
      <c r="H333" s="12">
        <f t="shared" si="81"/>
        <v>0</v>
      </c>
      <c r="I333" s="2"/>
      <c r="J333" s="16">
        <v>1350</v>
      </c>
      <c r="K333" s="2"/>
      <c r="L333" s="13">
        <f t="shared" si="82"/>
        <v>0</v>
      </c>
      <c r="M333" s="2"/>
      <c r="N333" s="12">
        <f t="shared" si="83"/>
        <v>0</v>
      </c>
      <c r="O333" s="2"/>
      <c r="P333" s="12">
        <v>1350</v>
      </c>
      <c r="R333" s="2"/>
    </row>
    <row r="334" spans="1:18" x14ac:dyDescent="0.25">
      <c r="A334" t="s">
        <v>190</v>
      </c>
      <c r="B334" t="s">
        <v>147</v>
      </c>
      <c r="C334" t="s">
        <v>148</v>
      </c>
      <c r="D334" s="47">
        <v>62325</v>
      </c>
      <c r="E334" s="2"/>
      <c r="F334" s="37">
        <f t="shared" si="80"/>
        <v>0</v>
      </c>
      <c r="G334" s="2"/>
      <c r="H334" s="12">
        <f t="shared" si="81"/>
        <v>0</v>
      </c>
      <c r="I334" s="2"/>
      <c r="J334" s="16">
        <v>62325</v>
      </c>
      <c r="K334" s="2"/>
      <c r="L334" s="13">
        <f t="shared" si="82"/>
        <v>0.21019417475728155</v>
      </c>
      <c r="M334" s="2"/>
      <c r="N334" s="12">
        <f t="shared" si="83"/>
        <v>10825</v>
      </c>
      <c r="O334" s="2"/>
      <c r="P334" s="12">
        <v>51500</v>
      </c>
      <c r="R334" s="2"/>
    </row>
    <row r="335" spans="1:18" x14ac:dyDescent="0.25">
      <c r="A335" t="s">
        <v>190</v>
      </c>
      <c r="B335" t="s">
        <v>34</v>
      </c>
      <c r="C335" t="s">
        <v>35</v>
      </c>
      <c r="D335" s="47">
        <f>ROUNDUP((359.42),0)</f>
        <v>360</v>
      </c>
      <c r="E335" s="2"/>
      <c r="F335" s="37">
        <f t="shared" si="80"/>
        <v>0</v>
      </c>
      <c r="G335" s="2"/>
      <c r="H335" s="12">
        <f t="shared" si="81"/>
        <v>0</v>
      </c>
      <c r="I335" s="2"/>
      <c r="J335" s="16">
        <f>ROUNDUP((359.42),0)</f>
        <v>360</v>
      </c>
      <c r="K335" s="2"/>
      <c r="L335" s="13">
        <f t="shared" si="82"/>
        <v>0.20805369127516779</v>
      </c>
      <c r="M335" s="2"/>
      <c r="N335" s="12">
        <f t="shared" si="83"/>
        <v>62</v>
      </c>
      <c r="O335" s="2"/>
      <c r="P335" s="12">
        <v>298</v>
      </c>
      <c r="R335" s="2"/>
    </row>
    <row r="336" spans="1:18" x14ac:dyDescent="0.25">
      <c r="A336" t="s">
        <v>190</v>
      </c>
      <c r="B336" t="s">
        <v>9</v>
      </c>
      <c r="C336" t="s">
        <v>10</v>
      </c>
      <c r="D336" s="47">
        <f>ROUNDUP((1317.37),0)</f>
        <v>1318</v>
      </c>
      <c r="E336" s="2"/>
      <c r="F336" s="37">
        <f t="shared" si="80"/>
        <v>0</v>
      </c>
      <c r="G336" s="2"/>
      <c r="H336" s="12">
        <f t="shared" si="81"/>
        <v>0</v>
      </c>
      <c r="I336" s="2"/>
      <c r="J336" s="16">
        <f>ROUNDUP((1317.37),0)</f>
        <v>1318</v>
      </c>
      <c r="K336" s="2"/>
      <c r="L336" s="13">
        <f t="shared" si="82"/>
        <v>0.71391417425227566</v>
      </c>
      <c r="M336" s="2"/>
      <c r="N336" s="12">
        <f t="shared" si="83"/>
        <v>549</v>
      </c>
      <c r="O336" s="2"/>
      <c r="P336" s="12">
        <v>769</v>
      </c>
      <c r="R336" s="2"/>
    </row>
    <row r="337" spans="1:18" ht="120" x14ac:dyDescent="0.25">
      <c r="A337" s="1" t="s">
        <v>0</v>
      </c>
      <c r="B337" s="1" t="s">
        <v>1</v>
      </c>
      <c r="C337" s="1" t="s">
        <v>2</v>
      </c>
      <c r="D337" s="5" t="s">
        <v>337</v>
      </c>
      <c r="E337" s="1"/>
      <c r="F337" s="5" t="s">
        <v>409</v>
      </c>
      <c r="G337" s="1"/>
      <c r="H337" s="5" t="s">
        <v>410</v>
      </c>
      <c r="I337" s="1"/>
      <c r="J337" s="5" t="s">
        <v>336</v>
      </c>
      <c r="K337" s="1"/>
      <c r="L337" s="4" t="s">
        <v>344</v>
      </c>
      <c r="M337" s="1"/>
      <c r="N337" s="4" t="s">
        <v>342</v>
      </c>
      <c r="O337" s="1"/>
      <c r="P337" s="4" t="s">
        <v>335</v>
      </c>
      <c r="R337" s="1"/>
    </row>
    <row r="338" spans="1:18" x14ac:dyDescent="0.25">
      <c r="A338" t="s">
        <v>190</v>
      </c>
      <c r="B338" t="s">
        <v>36</v>
      </c>
      <c r="C338" t="s">
        <v>37</v>
      </c>
      <c r="D338" s="47">
        <f>ROUNDUP((33274.99),0)</f>
        <v>33275</v>
      </c>
      <c r="E338" s="2"/>
      <c r="F338" s="37">
        <f t="shared" si="80"/>
        <v>0</v>
      </c>
      <c r="G338" s="2"/>
      <c r="H338" s="12">
        <f t="shared" si="81"/>
        <v>0</v>
      </c>
      <c r="I338" s="2"/>
      <c r="J338" s="16">
        <f>ROUNDUP((33274.99),0)</f>
        <v>33275</v>
      </c>
      <c r="K338" s="2"/>
      <c r="L338" s="13">
        <f t="shared" si="82"/>
        <v>1.2167300380228136E-2</v>
      </c>
      <c r="M338" s="2"/>
      <c r="N338" s="12">
        <f t="shared" si="83"/>
        <v>400</v>
      </c>
      <c r="O338" s="2"/>
      <c r="P338" s="12">
        <v>32875</v>
      </c>
      <c r="R338" s="2"/>
    </row>
    <row r="339" spans="1:18" x14ac:dyDescent="0.25">
      <c r="A339" t="s">
        <v>190</v>
      </c>
      <c r="B339" t="s">
        <v>38</v>
      </c>
      <c r="C339" t="s">
        <v>39</v>
      </c>
      <c r="D339" s="47">
        <f>ROUNDUP((29344.36),0)</f>
        <v>29345</v>
      </c>
      <c r="E339" s="2"/>
      <c r="F339" s="37">
        <f t="shared" si="80"/>
        <v>0</v>
      </c>
      <c r="G339" s="2"/>
      <c r="H339" s="12">
        <f t="shared" si="81"/>
        <v>0</v>
      </c>
      <c r="I339" s="2"/>
      <c r="J339" s="16">
        <f>ROUNDUP((29344.36),0)</f>
        <v>29345</v>
      </c>
      <c r="K339" s="2"/>
      <c r="L339" s="13">
        <f t="shared" si="82"/>
        <v>-0.26804020852560423</v>
      </c>
      <c r="M339" s="2"/>
      <c r="N339" s="12">
        <f t="shared" si="83"/>
        <v>-10746</v>
      </c>
      <c r="O339" s="2"/>
      <c r="P339" s="12">
        <v>40091</v>
      </c>
      <c r="R339" s="2"/>
    </row>
    <row r="340" spans="1:18" x14ac:dyDescent="0.25">
      <c r="A340" t="s">
        <v>190</v>
      </c>
      <c r="B340" t="s">
        <v>11</v>
      </c>
      <c r="C340" t="s">
        <v>12</v>
      </c>
      <c r="D340" s="47">
        <f>ROUNDUP((22038.95),0)</f>
        <v>22039</v>
      </c>
      <c r="E340" s="2"/>
      <c r="F340" s="37">
        <f t="shared" si="80"/>
        <v>0</v>
      </c>
      <c r="G340" s="2"/>
      <c r="H340" s="12">
        <f t="shared" si="81"/>
        <v>0</v>
      </c>
      <c r="I340" s="2"/>
      <c r="J340" s="16">
        <f>ROUNDUP((22038.95),0)</f>
        <v>22039</v>
      </c>
      <c r="K340" s="2"/>
      <c r="L340" s="13">
        <f t="shared" si="82"/>
        <v>6.520057999033349E-2</v>
      </c>
      <c r="M340" s="2"/>
      <c r="N340" s="12">
        <f t="shared" si="83"/>
        <v>1349</v>
      </c>
      <c r="O340" s="2"/>
      <c r="P340" s="12">
        <v>20690</v>
      </c>
      <c r="R340" s="2"/>
    </row>
    <row r="341" spans="1:18" x14ac:dyDescent="0.25">
      <c r="A341" t="s">
        <v>190</v>
      </c>
      <c r="B341" t="s">
        <v>13</v>
      </c>
      <c r="C341" t="s">
        <v>14</v>
      </c>
      <c r="D341" s="47">
        <v>1000</v>
      </c>
      <c r="E341" s="2"/>
      <c r="F341" s="37">
        <f t="shared" si="80"/>
        <v>0</v>
      </c>
      <c r="G341" s="2"/>
      <c r="H341" s="12">
        <f t="shared" si="81"/>
        <v>0</v>
      </c>
      <c r="I341" s="2"/>
      <c r="J341" s="16">
        <v>1000</v>
      </c>
      <c r="K341" s="2"/>
      <c r="L341" s="13">
        <f t="shared" si="82"/>
        <v>0</v>
      </c>
      <c r="M341" s="2"/>
      <c r="N341" s="12">
        <f t="shared" si="83"/>
        <v>0</v>
      </c>
      <c r="O341" s="2"/>
      <c r="P341" s="12">
        <v>1000</v>
      </c>
      <c r="R341" s="2"/>
    </row>
    <row r="342" spans="1:18" x14ac:dyDescent="0.25">
      <c r="A342" t="s">
        <v>190</v>
      </c>
      <c r="B342" t="s">
        <v>21</v>
      </c>
      <c r="C342" t="s">
        <v>22</v>
      </c>
      <c r="D342" s="47">
        <v>120</v>
      </c>
      <c r="E342" s="2"/>
      <c r="F342" s="37">
        <f t="shared" si="80"/>
        <v>0</v>
      </c>
      <c r="G342" s="2"/>
      <c r="H342" s="12">
        <f t="shared" si="81"/>
        <v>0</v>
      </c>
      <c r="I342" s="2"/>
      <c r="J342" s="16">
        <v>120</v>
      </c>
      <c r="K342" s="2"/>
      <c r="L342" s="13">
        <f t="shared" si="82"/>
        <v>0</v>
      </c>
      <c r="M342" s="2"/>
      <c r="N342" s="12">
        <f t="shared" si="83"/>
        <v>0</v>
      </c>
      <c r="O342" s="2"/>
      <c r="P342" s="12">
        <v>120</v>
      </c>
      <c r="R342" s="2"/>
    </row>
    <row r="343" spans="1:18" x14ac:dyDescent="0.25">
      <c r="A343" t="s">
        <v>190</v>
      </c>
      <c r="B343" t="s">
        <v>151</v>
      </c>
      <c r="C343" t="s">
        <v>152</v>
      </c>
      <c r="D343" s="47">
        <v>300</v>
      </c>
      <c r="E343" s="2"/>
      <c r="F343" s="37">
        <f t="shared" si="80"/>
        <v>0</v>
      </c>
      <c r="G343" s="2"/>
      <c r="H343" s="12">
        <f t="shared" si="81"/>
        <v>0</v>
      </c>
      <c r="I343" s="2"/>
      <c r="J343" s="16">
        <v>300</v>
      </c>
      <c r="K343" s="2"/>
      <c r="L343" s="13">
        <f t="shared" si="82"/>
        <v>0</v>
      </c>
      <c r="M343" s="2"/>
      <c r="N343" s="12">
        <f t="shared" si="83"/>
        <v>0</v>
      </c>
      <c r="O343" s="2"/>
      <c r="P343" s="12">
        <v>300</v>
      </c>
      <c r="R343" s="2"/>
    </row>
    <row r="344" spans="1:18" x14ac:dyDescent="0.25">
      <c r="A344" t="s">
        <v>190</v>
      </c>
      <c r="B344" t="s">
        <v>153</v>
      </c>
      <c r="C344" t="s">
        <v>154</v>
      </c>
      <c r="D344" s="47">
        <v>2250</v>
      </c>
      <c r="E344" s="2"/>
      <c r="F344" s="37">
        <f t="shared" si="80"/>
        <v>0</v>
      </c>
      <c r="G344" s="2"/>
      <c r="H344" s="12">
        <f t="shared" si="81"/>
        <v>0</v>
      </c>
      <c r="I344" s="2"/>
      <c r="J344" s="16">
        <v>2250</v>
      </c>
      <c r="K344" s="2"/>
      <c r="L344" s="13">
        <f t="shared" si="82"/>
        <v>0</v>
      </c>
      <c r="M344" s="2"/>
      <c r="N344" s="12">
        <f t="shared" si="83"/>
        <v>0</v>
      </c>
      <c r="O344" s="2"/>
      <c r="P344" s="12">
        <v>2250</v>
      </c>
      <c r="R344" s="2"/>
    </row>
    <row r="345" spans="1:18" x14ac:dyDescent="0.25">
      <c r="A345" t="s">
        <v>190</v>
      </c>
      <c r="B345" t="s">
        <v>23</v>
      </c>
      <c r="C345" t="s">
        <v>24</v>
      </c>
      <c r="D345" s="47">
        <v>1450</v>
      </c>
      <c r="E345" s="2"/>
      <c r="F345" s="37">
        <f t="shared" si="80"/>
        <v>0</v>
      </c>
      <c r="G345" s="2"/>
      <c r="H345" s="12">
        <f t="shared" si="81"/>
        <v>0</v>
      </c>
      <c r="I345" s="2"/>
      <c r="J345" s="16">
        <v>1450</v>
      </c>
      <c r="K345" s="2"/>
      <c r="L345" s="13">
        <f t="shared" si="82"/>
        <v>0</v>
      </c>
      <c r="M345" s="2"/>
      <c r="N345" s="12">
        <f t="shared" si="83"/>
        <v>0</v>
      </c>
      <c r="O345" s="2"/>
      <c r="P345" s="12">
        <v>1450</v>
      </c>
      <c r="R345" s="2"/>
    </row>
    <row r="346" spans="1:18" x14ac:dyDescent="0.25">
      <c r="A346" t="s">
        <v>190</v>
      </c>
      <c r="B346" t="s">
        <v>123</v>
      </c>
      <c r="C346" t="s">
        <v>124</v>
      </c>
      <c r="D346" s="47">
        <v>1900</v>
      </c>
      <c r="E346" s="2"/>
      <c r="F346" s="37">
        <f t="shared" si="80"/>
        <v>0</v>
      </c>
      <c r="G346" s="2"/>
      <c r="H346" s="12">
        <f t="shared" si="81"/>
        <v>0</v>
      </c>
      <c r="I346" s="2"/>
      <c r="J346" s="16">
        <v>1900</v>
      </c>
      <c r="K346" s="2"/>
      <c r="L346" s="13">
        <f t="shared" si="82"/>
        <v>0</v>
      </c>
      <c r="M346" s="2"/>
      <c r="N346" s="12">
        <f t="shared" si="83"/>
        <v>0</v>
      </c>
      <c r="O346" s="2"/>
      <c r="P346" s="12">
        <v>1900</v>
      </c>
      <c r="R346" s="2"/>
    </row>
    <row r="347" spans="1:18" x14ac:dyDescent="0.25">
      <c r="A347" t="s">
        <v>190</v>
      </c>
      <c r="B347" t="s">
        <v>69</v>
      </c>
      <c r="C347" t="s">
        <v>70</v>
      </c>
      <c r="D347" s="47">
        <v>1125</v>
      </c>
      <c r="E347" s="2"/>
      <c r="F347" s="37">
        <f t="shared" si="80"/>
        <v>0</v>
      </c>
      <c r="G347" s="2"/>
      <c r="H347" s="12">
        <f t="shared" si="81"/>
        <v>0</v>
      </c>
      <c r="I347" s="2"/>
      <c r="J347" s="16">
        <v>1125</v>
      </c>
      <c r="K347" s="2"/>
      <c r="L347" s="13">
        <f t="shared" si="82"/>
        <v>0</v>
      </c>
      <c r="M347" s="2"/>
      <c r="N347" s="12">
        <f t="shared" si="83"/>
        <v>0</v>
      </c>
      <c r="O347" s="2"/>
      <c r="P347" s="12">
        <v>1125</v>
      </c>
      <c r="R347" s="2"/>
    </row>
    <row r="348" spans="1:18" x14ac:dyDescent="0.25">
      <c r="D348" s="2"/>
      <c r="E348" s="2"/>
      <c r="F348" s="2"/>
      <c r="G348" s="2"/>
      <c r="H348" s="2"/>
      <c r="I348" s="2"/>
      <c r="J348" s="25"/>
      <c r="K348" s="2"/>
      <c r="M348" s="2"/>
      <c r="O348" s="2"/>
      <c r="R348" s="2"/>
    </row>
    <row r="349" spans="1:18" x14ac:dyDescent="0.25">
      <c r="A349" t="s">
        <v>5</v>
      </c>
      <c r="B349" t="s">
        <v>5</v>
      </c>
      <c r="C349" s="1" t="s">
        <v>373</v>
      </c>
      <c r="D349" s="8">
        <f>SUM(D330:D347)</f>
        <v>382573</v>
      </c>
      <c r="E349" s="2"/>
      <c r="F349" s="15">
        <f>H349/J349</f>
        <v>0</v>
      </c>
      <c r="G349" s="2"/>
      <c r="H349" s="8">
        <f>SUM(H330:H347)</f>
        <v>0</v>
      </c>
      <c r="I349" s="2"/>
      <c r="J349" s="8">
        <f>SUM(J330:J347)</f>
        <v>382573</v>
      </c>
      <c r="K349" s="2"/>
      <c r="L349" s="15">
        <f>N349/P349</f>
        <v>1.6586462449280023E-2</v>
      </c>
      <c r="M349" s="2"/>
      <c r="N349" s="8">
        <f>SUM(N330:N347)</f>
        <v>6242</v>
      </c>
      <c r="O349" s="2"/>
      <c r="P349" s="8">
        <f>SUM(P330:P347)</f>
        <v>376331</v>
      </c>
      <c r="R349" s="2"/>
    </row>
    <row r="350" spans="1:18" x14ac:dyDescent="0.25">
      <c r="D350" s="2"/>
      <c r="E350" s="2"/>
      <c r="F350" s="2"/>
      <c r="G350" s="2"/>
      <c r="H350" s="2"/>
      <c r="I350" s="2"/>
      <c r="J350" s="2"/>
      <c r="K350" s="2"/>
      <c r="M350" s="2"/>
      <c r="O350" s="2"/>
      <c r="R350" s="2"/>
    </row>
    <row r="351" spans="1:18" x14ac:dyDescent="0.25">
      <c r="A351" t="s">
        <v>191</v>
      </c>
      <c r="B351" t="s">
        <v>3</v>
      </c>
      <c r="C351" t="s">
        <v>4</v>
      </c>
      <c r="D351" s="12">
        <v>2500</v>
      </c>
      <c r="E351" s="2"/>
      <c r="F351" s="37">
        <f t="shared" ref="F351:F400" si="84">H351/J351</f>
        <v>0</v>
      </c>
      <c r="G351" s="2"/>
      <c r="H351" s="12">
        <f t="shared" ref="H351:H400" si="85">D351-J351</f>
        <v>0</v>
      </c>
      <c r="I351" s="2"/>
      <c r="J351" s="12">
        <v>2500</v>
      </c>
      <c r="K351" s="2"/>
      <c r="L351" s="13">
        <f t="shared" ref="L351:L400" si="86">N351/P351</f>
        <v>0</v>
      </c>
      <c r="M351" s="2"/>
      <c r="N351" s="12">
        <f t="shared" ref="N351:N400" si="87">J351-P351</f>
        <v>0</v>
      </c>
      <c r="O351" s="2"/>
      <c r="P351" s="12">
        <v>2500</v>
      </c>
      <c r="R351" s="2"/>
    </row>
    <row r="352" spans="1:18" x14ac:dyDescent="0.25">
      <c r="A352" t="s">
        <v>191</v>
      </c>
      <c r="B352" t="s">
        <v>57</v>
      </c>
      <c r="C352" t="s">
        <v>58</v>
      </c>
      <c r="D352" s="12">
        <f>ROUNDUP((92723.07),0)</f>
        <v>92724</v>
      </c>
      <c r="E352" s="2"/>
      <c r="F352" s="37">
        <f t="shared" si="84"/>
        <v>-2.8335499014964162E-2</v>
      </c>
      <c r="G352" s="2"/>
      <c r="H352" s="12">
        <f t="shared" si="85"/>
        <v>-2704</v>
      </c>
      <c r="I352" s="2"/>
      <c r="J352" s="12">
        <f>ROUNDUP((95427.07),0)</f>
        <v>95428</v>
      </c>
      <c r="K352" s="2"/>
      <c r="L352" s="13">
        <f t="shared" si="86"/>
        <v>6.0016662038322691E-2</v>
      </c>
      <c r="M352" s="2"/>
      <c r="N352" s="12">
        <f t="shared" si="87"/>
        <v>5403</v>
      </c>
      <c r="O352" s="2"/>
      <c r="P352" s="12">
        <v>90025</v>
      </c>
      <c r="R352" s="2"/>
    </row>
    <row r="353" spans="1:18" x14ac:dyDescent="0.25">
      <c r="A353" t="s">
        <v>191</v>
      </c>
      <c r="B353" t="s">
        <v>30</v>
      </c>
      <c r="C353" t="s">
        <v>31</v>
      </c>
      <c r="D353" s="12">
        <f>ROUNDUP((456560.21),0)</f>
        <v>456561</v>
      </c>
      <c r="E353" s="2"/>
      <c r="F353" s="37">
        <f t="shared" si="84"/>
        <v>2.8906957771998538E-2</v>
      </c>
      <c r="G353" s="2"/>
      <c r="H353" s="12">
        <f t="shared" si="85"/>
        <v>12827</v>
      </c>
      <c r="I353" s="2"/>
      <c r="J353" s="12">
        <f>ROUNDUP((443733.06),0)</f>
        <v>443734</v>
      </c>
      <c r="K353" s="2"/>
      <c r="L353" s="13">
        <f t="shared" si="86"/>
        <v>2.7100220820043239E-2</v>
      </c>
      <c r="M353" s="2"/>
      <c r="N353" s="12">
        <f t="shared" si="87"/>
        <v>11708</v>
      </c>
      <c r="O353" s="2"/>
      <c r="P353" s="12">
        <v>432026</v>
      </c>
      <c r="R353" s="2"/>
    </row>
    <row r="354" spans="1:18" x14ac:dyDescent="0.25">
      <c r="A354" t="s">
        <v>191</v>
      </c>
      <c r="B354" t="s">
        <v>32</v>
      </c>
      <c r="C354" t="s">
        <v>33</v>
      </c>
      <c r="D354" s="12">
        <f>ROUNDUP((41926.77),0)</f>
        <v>41927</v>
      </c>
      <c r="E354" s="2"/>
      <c r="F354" s="37">
        <f t="shared" si="84"/>
        <v>0</v>
      </c>
      <c r="G354" s="2"/>
      <c r="H354" s="12">
        <f t="shared" si="85"/>
        <v>0</v>
      </c>
      <c r="I354" s="2"/>
      <c r="J354" s="12">
        <f>ROUNDUP((41926.77),0)</f>
        <v>41927</v>
      </c>
      <c r="K354" s="2"/>
      <c r="L354" s="13">
        <f t="shared" si="86"/>
        <v>0.1182919022724848</v>
      </c>
      <c r="M354" s="2"/>
      <c r="N354" s="12">
        <f t="shared" si="87"/>
        <v>4435</v>
      </c>
      <c r="O354" s="2"/>
      <c r="P354" s="12">
        <v>37492</v>
      </c>
      <c r="R354" s="2"/>
    </row>
    <row r="355" spans="1:18" x14ac:dyDescent="0.25">
      <c r="A355" t="s">
        <v>191</v>
      </c>
      <c r="B355" t="s">
        <v>141</v>
      </c>
      <c r="C355" t="s">
        <v>142</v>
      </c>
      <c r="D355" s="12">
        <v>25500</v>
      </c>
      <c r="E355" s="2"/>
      <c r="F355" s="37">
        <f t="shared" si="84"/>
        <v>0</v>
      </c>
      <c r="G355" s="2"/>
      <c r="H355" s="12">
        <f t="shared" si="85"/>
        <v>0</v>
      </c>
      <c r="I355" s="2"/>
      <c r="J355" s="12">
        <v>25500</v>
      </c>
      <c r="K355" s="2"/>
      <c r="L355" s="13">
        <f t="shared" si="86"/>
        <v>0</v>
      </c>
      <c r="M355" s="2"/>
      <c r="N355" s="12">
        <f t="shared" si="87"/>
        <v>0</v>
      </c>
      <c r="O355" s="2"/>
      <c r="P355" s="12">
        <v>25500</v>
      </c>
      <c r="R355" s="2"/>
    </row>
    <row r="356" spans="1:18" x14ac:dyDescent="0.25">
      <c r="A356" t="s">
        <v>191</v>
      </c>
      <c r="B356" t="s">
        <v>61</v>
      </c>
      <c r="C356" t="s">
        <v>62</v>
      </c>
      <c r="D356" s="12">
        <v>40000</v>
      </c>
      <c r="E356" s="2"/>
      <c r="F356" s="37">
        <f t="shared" si="84"/>
        <v>0</v>
      </c>
      <c r="G356" s="2"/>
      <c r="H356" s="12">
        <f t="shared" si="85"/>
        <v>0</v>
      </c>
      <c r="I356" s="2"/>
      <c r="J356" s="12">
        <v>40000</v>
      </c>
      <c r="K356" s="2"/>
      <c r="L356" s="13">
        <f t="shared" si="86"/>
        <v>0</v>
      </c>
      <c r="M356" s="2"/>
      <c r="N356" s="12">
        <f t="shared" si="87"/>
        <v>0</v>
      </c>
      <c r="O356" s="2"/>
      <c r="P356" s="12">
        <v>40000</v>
      </c>
      <c r="R356" s="2"/>
    </row>
    <row r="357" spans="1:18" x14ac:dyDescent="0.25">
      <c r="A357" t="s">
        <v>191</v>
      </c>
      <c r="B357" t="s">
        <v>34</v>
      </c>
      <c r="C357" t="s">
        <v>35</v>
      </c>
      <c r="D357" s="12">
        <f>ROUNDUP((705.6),0)</f>
        <v>706</v>
      </c>
      <c r="E357" s="2"/>
      <c r="F357" s="37">
        <f t="shared" si="84"/>
        <v>0</v>
      </c>
      <c r="G357" s="2"/>
      <c r="H357" s="12">
        <f t="shared" si="85"/>
        <v>0</v>
      </c>
      <c r="I357" s="2"/>
      <c r="J357" s="12">
        <f>ROUNDUP((705.6),0)</f>
        <v>706</v>
      </c>
      <c r="K357" s="2"/>
      <c r="L357" s="13">
        <f t="shared" si="86"/>
        <v>-0.13902439024390245</v>
      </c>
      <c r="M357" s="2"/>
      <c r="N357" s="12">
        <f t="shared" si="87"/>
        <v>-114</v>
      </c>
      <c r="O357" s="2"/>
      <c r="P357" s="12">
        <v>820</v>
      </c>
      <c r="R357" s="2"/>
    </row>
    <row r="358" spans="1:18" x14ac:dyDescent="0.25">
      <c r="A358" t="s">
        <v>191</v>
      </c>
      <c r="B358" t="s">
        <v>9</v>
      </c>
      <c r="C358" t="s">
        <v>10</v>
      </c>
      <c r="D358" s="12">
        <f>ROUNDUP((47675.88),0)</f>
        <v>47676</v>
      </c>
      <c r="E358" s="2"/>
      <c r="F358" s="37">
        <f t="shared" si="84"/>
        <v>1.6394141599334854E-2</v>
      </c>
      <c r="G358" s="2"/>
      <c r="H358" s="12">
        <f t="shared" si="85"/>
        <v>769</v>
      </c>
      <c r="I358" s="2"/>
      <c r="J358" s="12">
        <f>ROUNDUP((46906.07),0)</f>
        <v>46907</v>
      </c>
      <c r="K358" s="2"/>
      <c r="L358" s="13">
        <f t="shared" si="86"/>
        <v>0.21187929519971063</v>
      </c>
      <c r="M358" s="2"/>
      <c r="N358" s="12">
        <f t="shared" si="87"/>
        <v>8201</v>
      </c>
      <c r="O358" s="2"/>
      <c r="P358" s="12">
        <v>38706</v>
      </c>
      <c r="R358" s="2"/>
    </row>
    <row r="359" spans="1:18" x14ac:dyDescent="0.25">
      <c r="A359" t="s">
        <v>191</v>
      </c>
      <c r="B359" t="s">
        <v>36</v>
      </c>
      <c r="C359" t="s">
        <v>37</v>
      </c>
      <c r="D359" s="12">
        <f>ROUNDUP((64383.42),0)</f>
        <v>64384</v>
      </c>
      <c r="E359" s="2"/>
      <c r="F359" s="37">
        <f t="shared" si="84"/>
        <v>1.6305977806190905E-2</v>
      </c>
      <c r="G359" s="2"/>
      <c r="H359" s="12">
        <f t="shared" si="85"/>
        <v>1033</v>
      </c>
      <c r="I359" s="2"/>
      <c r="J359" s="12">
        <f>ROUNDUP((63350.86),0)</f>
        <v>63351</v>
      </c>
      <c r="K359" s="2"/>
      <c r="L359" s="13">
        <f t="shared" si="86"/>
        <v>3.5942635684267331E-2</v>
      </c>
      <c r="M359" s="2"/>
      <c r="N359" s="12">
        <f t="shared" si="87"/>
        <v>2198</v>
      </c>
      <c r="O359" s="2"/>
      <c r="P359" s="12">
        <v>61153</v>
      </c>
      <c r="R359" s="2"/>
    </row>
    <row r="360" spans="1:18" x14ac:dyDescent="0.25">
      <c r="A360" t="s">
        <v>191</v>
      </c>
      <c r="B360" t="s">
        <v>38</v>
      </c>
      <c r="C360" t="s">
        <v>39</v>
      </c>
      <c r="D360" s="12">
        <f>ROUNDUP((141328.87),0)</f>
        <v>141329</v>
      </c>
      <c r="E360" s="2"/>
      <c r="F360" s="37">
        <f t="shared" si="84"/>
        <v>0.11521526418786693</v>
      </c>
      <c r="G360" s="2"/>
      <c r="H360" s="12">
        <f t="shared" si="85"/>
        <v>14601</v>
      </c>
      <c r="I360" s="2"/>
      <c r="J360" s="12">
        <f>ROUNDUP((126727.09),0)</f>
        <v>126728</v>
      </c>
      <c r="K360" s="2"/>
      <c r="L360" s="13">
        <f t="shared" si="86"/>
        <v>7.1351278236169352E-2</v>
      </c>
      <c r="M360" s="2"/>
      <c r="N360" s="12">
        <f t="shared" si="87"/>
        <v>8440</v>
      </c>
      <c r="O360" s="2"/>
      <c r="P360" s="12">
        <v>118288</v>
      </c>
      <c r="R360" s="2"/>
    </row>
    <row r="361" spans="1:18" x14ac:dyDescent="0.25">
      <c r="A361" t="s">
        <v>191</v>
      </c>
      <c r="B361" t="s">
        <v>11</v>
      </c>
      <c r="C361" t="s">
        <v>12</v>
      </c>
      <c r="D361" s="12">
        <f>ROUNDUP((50238.32),0)</f>
        <v>50239</v>
      </c>
      <c r="E361" s="2"/>
      <c r="F361" s="37">
        <f t="shared" si="84"/>
        <v>1.5667960536956169E-2</v>
      </c>
      <c r="G361" s="2"/>
      <c r="H361" s="12">
        <f t="shared" si="85"/>
        <v>775</v>
      </c>
      <c r="I361" s="2"/>
      <c r="J361" s="12">
        <f>ROUNDUP((49463.9),0)</f>
        <v>49464</v>
      </c>
      <c r="K361" s="2"/>
      <c r="L361" s="13">
        <f t="shared" si="86"/>
        <v>3.4465450895097872E-2</v>
      </c>
      <c r="M361" s="2"/>
      <c r="N361" s="12">
        <f t="shared" si="87"/>
        <v>1648</v>
      </c>
      <c r="O361" s="2"/>
      <c r="P361" s="12">
        <v>47816</v>
      </c>
      <c r="R361" s="2"/>
    </row>
    <row r="362" spans="1:18" x14ac:dyDescent="0.25">
      <c r="A362" t="s">
        <v>191</v>
      </c>
      <c r="B362" t="s">
        <v>192</v>
      </c>
      <c r="C362" t="s">
        <v>193</v>
      </c>
      <c r="D362" s="12">
        <v>1000</v>
      </c>
      <c r="E362" s="2"/>
      <c r="F362" s="37">
        <f t="shared" si="84"/>
        <v>0</v>
      </c>
      <c r="G362" s="2"/>
      <c r="H362" s="12">
        <f t="shared" si="85"/>
        <v>0</v>
      </c>
      <c r="I362" s="2"/>
      <c r="J362" s="12">
        <v>1000</v>
      </c>
      <c r="K362" s="2"/>
      <c r="L362" s="13">
        <f t="shared" si="86"/>
        <v>0.66666666666666663</v>
      </c>
      <c r="M362" s="2"/>
      <c r="N362" s="12">
        <f t="shared" si="87"/>
        <v>400</v>
      </c>
      <c r="O362" s="2"/>
      <c r="P362" s="12">
        <v>600</v>
      </c>
      <c r="R362" s="2"/>
    </row>
    <row r="363" spans="1:18" x14ac:dyDescent="0.25">
      <c r="A363" t="s">
        <v>191</v>
      </c>
      <c r="B363" t="s">
        <v>13</v>
      </c>
      <c r="C363" t="s">
        <v>14</v>
      </c>
      <c r="D363" s="12">
        <v>2000</v>
      </c>
      <c r="E363" s="2"/>
      <c r="F363" s="37">
        <f t="shared" si="84"/>
        <v>0</v>
      </c>
      <c r="G363" s="2"/>
      <c r="H363" s="12">
        <f t="shared" si="85"/>
        <v>0</v>
      </c>
      <c r="I363" s="2"/>
      <c r="J363" s="12">
        <v>2000</v>
      </c>
      <c r="K363" s="2"/>
      <c r="L363" s="13">
        <f t="shared" si="86"/>
        <v>0.33333333333333331</v>
      </c>
      <c r="M363" s="2"/>
      <c r="N363" s="12">
        <f t="shared" si="87"/>
        <v>500</v>
      </c>
      <c r="O363" s="2"/>
      <c r="P363" s="12">
        <v>1500</v>
      </c>
      <c r="R363" s="2"/>
    </row>
    <row r="364" spans="1:18" x14ac:dyDescent="0.25">
      <c r="A364" t="s">
        <v>191</v>
      </c>
      <c r="B364" t="s">
        <v>15</v>
      </c>
      <c r="C364" t="s">
        <v>16</v>
      </c>
      <c r="D364" s="12">
        <v>8500</v>
      </c>
      <c r="E364" s="2"/>
      <c r="F364" s="37">
        <f t="shared" si="84"/>
        <v>0</v>
      </c>
      <c r="G364" s="2"/>
      <c r="H364" s="12">
        <f t="shared" si="85"/>
        <v>0</v>
      </c>
      <c r="I364" s="2"/>
      <c r="J364" s="12">
        <v>8500</v>
      </c>
      <c r="K364" s="2"/>
      <c r="L364" s="13">
        <f t="shared" si="86"/>
        <v>0</v>
      </c>
      <c r="M364" s="2"/>
      <c r="N364" s="12">
        <f t="shared" si="87"/>
        <v>0</v>
      </c>
      <c r="O364" s="2"/>
      <c r="P364" s="12">
        <v>8500</v>
      </c>
      <c r="R364" s="2"/>
    </row>
    <row r="365" spans="1:18" x14ac:dyDescent="0.25">
      <c r="A365" t="s">
        <v>191</v>
      </c>
      <c r="B365" t="s">
        <v>19</v>
      </c>
      <c r="C365" t="s">
        <v>20</v>
      </c>
      <c r="D365" s="12">
        <v>150</v>
      </c>
      <c r="E365" s="2"/>
      <c r="F365" s="37">
        <f t="shared" si="84"/>
        <v>0</v>
      </c>
      <c r="G365" s="2"/>
      <c r="H365" s="12">
        <f t="shared" si="85"/>
        <v>0</v>
      </c>
      <c r="I365" s="2"/>
      <c r="J365" s="12">
        <v>150</v>
      </c>
      <c r="K365" s="2"/>
      <c r="L365" s="13">
        <f t="shared" si="86"/>
        <v>0</v>
      </c>
      <c r="M365" s="2"/>
      <c r="N365" s="12">
        <f t="shared" si="87"/>
        <v>0</v>
      </c>
      <c r="O365" s="2"/>
      <c r="P365" s="12">
        <v>150</v>
      </c>
      <c r="R365" s="2"/>
    </row>
    <row r="366" spans="1:18" x14ac:dyDescent="0.25">
      <c r="A366" t="s">
        <v>191</v>
      </c>
      <c r="B366" t="s">
        <v>21</v>
      </c>
      <c r="C366" t="s">
        <v>22</v>
      </c>
      <c r="D366" s="12">
        <v>1500</v>
      </c>
      <c r="E366" s="2"/>
      <c r="F366" s="37">
        <f t="shared" si="84"/>
        <v>0</v>
      </c>
      <c r="G366" s="2"/>
      <c r="H366" s="12">
        <f t="shared" si="85"/>
        <v>0</v>
      </c>
      <c r="I366" s="2"/>
      <c r="J366" s="12">
        <v>1500</v>
      </c>
      <c r="K366" s="2"/>
      <c r="L366" s="13">
        <f t="shared" si="86"/>
        <v>0.5</v>
      </c>
      <c r="M366" s="2"/>
      <c r="N366" s="12">
        <f t="shared" si="87"/>
        <v>500</v>
      </c>
      <c r="O366" s="2"/>
      <c r="P366" s="12">
        <v>1000</v>
      </c>
      <c r="R366" s="2"/>
    </row>
    <row r="367" spans="1:18" x14ac:dyDescent="0.25">
      <c r="A367" t="s">
        <v>191</v>
      </c>
      <c r="B367" t="s">
        <v>194</v>
      </c>
      <c r="C367" t="s">
        <v>195</v>
      </c>
      <c r="D367" s="12">
        <v>1500</v>
      </c>
      <c r="E367" s="2"/>
      <c r="F367" s="37">
        <f t="shared" si="84"/>
        <v>0</v>
      </c>
      <c r="G367" s="2"/>
      <c r="H367" s="12">
        <f t="shared" si="85"/>
        <v>0</v>
      </c>
      <c r="I367" s="2"/>
      <c r="J367" s="12">
        <v>1500</v>
      </c>
      <c r="K367" s="2"/>
      <c r="L367" s="13">
        <f t="shared" si="86"/>
        <v>0</v>
      </c>
      <c r="M367" s="2"/>
      <c r="N367" s="12">
        <f t="shared" si="87"/>
        <v>0</v>
      </c>
      <c r="O367" s="2"/>
      <c r="P367" s="12">
        <v>1500</v>
      </c>
      <c r="R367" s="2"/>
    </row>
    <row r="368" spans="1:18" x14ac:dyDescent="0.25">
      <c r="A368" t="s">
        <v>191</v>
      </c>
      <c r="B368" t="s">
        <v>153</v>
      </c>
      <c r="C368" t="s">
        <v>154</v>
      </c>
      <c r="D368" s="12">
        <v>10750</v>
      </c>
      <c r="E368" s="2"/>
      <c r="F368" s="37">
        <f t="shared" si="84"/>
        <v>0</v>
      </c>
      <c r="G368" s="2"/>
      <c r="H368" s="12">
        <f t="shared" si="85"/>
        <v>0</v>
      </c>
      <c r="I368" s="2"/>
      <c r="J368" s="12">
        <v>10750</v>
      </c>
      <c r="K368" s="2"/>
      <c r="L368" s="13">
        <f t="shared" si="86"/>
        <v>0</v>
      </c>
      <c r="M368" s="2"/>
      <c r="N368" s="12">
        <f t="shared" si="87"/>
        <v>0</v>
      </c>
      <c r="O368" s="2"/>
      <c r="P368" s="12">
        <v>10750</v>
      </c>
      <c r="R368" s="2"/>
    </row>
    <row r="369" spans="1:18" x14ac:dyDescent="0.25">
      <c r="A369" t="s">
        <v>191</v>
      </c>
      <c r="B369" t="s">
        <v>40</v>
      </c>
      <c r="C369" t="s">
        <v>41</v>
      </c>
      <c r="D369" s="12">
        <v>1600</v>
      </c>
      <c r="E369" s="2"/>
      <c r="F369" s="37">
        <f t="shared" si="84"/>
        <v>0</v>
      </c>
      <c r="G369" s="2"/>
      <c r="H369" s="12">
        <f t="shared" si="85"/>
        <v>0</v>
      </c>
      <c r="I369" s="2"/>
      <c r="J369" s="12">
        <v>1600</v>
      </c>
      <c r="K369" s="2"/>
      <c r="L369" s="13">
        <f t="shared" si="86"/>
        <v>0</v>
      </c>
      <c r="M369" s="2"/>
      <c r="N369" s="12">
        <f t="shared" si="87"/>
        <v>0</v>
      </c>
      <c r="O369" s="2"/>
      <c r="P369" s="12">
        <v>1600</v>
      </c>
      <c r="R369" s="2"/>
    </row>
    <row r="370" spans="1:18" x14ac:dyDescent="0.25">
      <c r="A370" t="s">
        <v>191</v>
      </c>
      <c r="B370" t="s">
        <v>111</v>
      </c>
      <c r="C370" t="s">
        <v>112</v>
      </c>
      <c r="D370" s="12">
        <v>5000</v>
      </c>
      <c r="E370" s="2"/>
      <c r="F370" s="37">
        <f t="shared" si="84"/>
        <v>0</v>
      </c>
      <c r="G370" s="2"/>
      <c r="H370" s="12">
        <f t="shared" si="85"/>
        <v>0</v>
      </c>
      <c r="I370" s="2"/>
      <c r="J370" s="12">
        <v>5000</v>
      </c>
      <c r="K370" s="2"/>
      <c r="L370" s="13">
        <f t="shared" si="86"/>
        <v>0.66666666666666663</v>
      </c>
      <c r="M370" s="2"/>
      <c r="N370" s="12">
        <f t="shared" si="87"/>
        <v>2000</v>
      </c>
      <c r="O370" s="2"/>
      <c r="P370" s="12">
        <v>3000</v>
      </c>
      <c r="R370" s="2"/>
    </row>
    <row r="371" spans="1:18" x14ac:dyDescent="0.25">
      <c r="A371" t="s">
        <v>191</v>
      </c>
      <c r="B371" t="s">
        <v>196</v>
      </c>
      <c r="C371" t="s">
        <v>197</v>
      </c>
      <c r="D371" s="12">
        <v>15000</v>
      </c>
      <c r="E371" s="2"/>
      <c r="F371" s="37">
        <f t="shared" si="84"/>
        <v>0</v>
      </c>
      <c r="G371" s="2"/>
      <c r="H371" s="12">
        <f t="shared" si="85"/>
        <v>0</v>
      </c>
      <c r="I371" s="2"/>
      <c r="J371" s="12">
        <v>15000</v>
      </c>
      <c r="K371" s="2"/>
      <c r="L371" s="13">
        <f t="shared" si="86"/>
        <v>0</v>
      </c>
      <c r="M371" s="2"/>
      <c r="N371" s="12">
        <f t="shared" si="87"/>
        <v>0</v>
      </c>
      <c r="O371" s="2"/>
      <c r="P371" s="12">
        <v>15000</v>
      </c>
      <c r="R371" s="2"/>
    </row>
    <row r="372" spans="1:18" x14ac:dyDescent="0.25">
      <c r="A372" t="s">
        <v>191</v>
      </c>
      <c r="B372" t="s">
        <v>198</v>
      </c>
      <c r="C372" t="s">
        <v>199</v>
      </c>
      <c r="D372" s="12">
        <v>25000</v>
      </c>
      <c r="E372" s="2"/>
      <c r="F372" s="37">
        <f t="shared" si="84"/>
        <v>0</v>
      </c>
      <c r="G372" s="2"/>
      <c r="H372" s="12">
        <f t="shared" si="85"/>
        <v>0</v>
      </c>
      <c r="I372" s="2"/>
      <c r="J372" s="12">
        <v>25000</v>
      </c>
      <c r="K372" s="2"/>
      <c r="L372" s="13">
        <f t="shared" si="86"/>
        <v>0</v>
      </c>
      <c r="M372" s="2"/>
      <c r="N372" s="12">
        <f t="shared" si="87"/>
        <v>0</v>
      </c>
      <c r="O372" s="2"/>
      <c r="P372" s="12">
        <v>25000</v>
      </c>
      <c r="R372" s="2"/>
    </row>
    <row r="373" spans="1:18" x14ac:dyDescent="0.25">
      <c r="A373" t="s">
        <v>191</v>
      </c>
      <c r="B373" t="s">
        <v>200</v>
      </c>
      <c r="C373" t="s">
        <v>201</v>
      </c>
      <c r="D373" s="12">
        <v>5000</v>
      </c>
      <c r="E373" s="2"/>
      <c r="F373" s="37">
        <f t="shared" si="84"/>
        <v>0</v>
      </c>
      <c r="G373" s="2"/>
      <c r="H373" s="12">
        <f t="shared" si="85"/>
        <v>0</v>
      </c>
      <c r="I373" s="2"/>
      <c r="J373" s="12">
        <v>5000</v>
      </c>
      <c r="K373" s="2"/>
      <c r="L373" s="13">
        <f t="shared" si="86"/>
        <v>0</v>
      </c>
      <c r="M373" s="2"/>
      <c r="N373" s="12">
        <f t="shared" si="87"/>
        <v>0</v>
      </c>
      <c r="O373" s="2"/>
      <c r="P373" s="12">
        <v>5000</v>
      </c>
      <c r="R373" s="2"/>
    </row>
    <row r="374" spans="1:18" x14ac:dyDescent="0.25">
      <c r="A374" t="s">
        <v>191</v>
      </c>
      <c r="B374" t="s">
        <v>169</v>
      </c>
      <c r="C374" t="s">
        <v>170</v>
      </c>
      <c r="D374" s="47">
        <v>80000</v>
      </c>
      <c r="E374" s="2"/>
      <c r="F374" s="37">
        <f t="shared" si="84"/>
        <v>0.23076923076923078</v>
      </c>
      <c r="G374" s="2"/>
      <c r="H374" s="12">
        <f t="shared" si="85"/>
        <v>15000</v>
      </c>
      <c r="I374" s="2"/>
      <c r="J374" s="16">
        <v>65000</v>
      </c>
      <c r="K374" s="2"/>
      <c r="L374" s="13">
        <f t="shared" si="86"/>
        <v>0.18181818181818182</v>
      </c>
      <c r="M374" s="2"/>
      <c r="N374" s="12">
        <f t="shared" si="87"/>
        <v>10000</v>
      </c>
      <c r="O374" s="2"/>
      <c r="P374" s="12">
        <v>55000</v>
      </c>
      <c r="Q374" t="s">
        <v>412</v>
      </c>
      <c r="R374" s="2"/>
    </row>
    <row r="375" spans="1:18" x14ac:dyDescent="0.25">
      <c r="A375" t="s">
        <v>191</v>
      </c>
      <c r="B375" t="s">
        <v>202</v>
      </c>
      <c r="C375" t="s">
        <v>203</v>
      </c>
      <c r="D375" s="47">
        <v>20000</v>
      </c>
      <c r="E375" s="2"/>
      <c r="F375" s="37">
        <f t="shared" si="84"/>
        <v>0</v>
      </c>
      <c r="G375" s="2"/>
      <c r="H375" s="12">
        <f t="shared" si="85"/>
        <v>0</v>
      </c>
      <c r="I375" s="2"/>
      <c r="J375" s="16">
        <v>20000</v>
      </c>
      <c r="K375" s="2"/>
      <c r="L375" s="13">
        <f t="shared" si="86"/>
        <v>0.33333333333333331</v>
      </c>
      <c r="M375" s="2"/>
      <c r="N375" s="12">
        <f t="shared" si="87"/>
        <v>5000</v>
      </c>
      <c r="O375" s="2"/>
      <c r="P375" s="12">
        <v>15000</v>
      </c>
      <c r="R375" s="2"/>
    </row>
    <row r="376" spans="1:18" x14ac:dyDescent="0.25">
      <c r="A376" t="s">
        <v>191</v>
      </c>
      <c r="B376" t="s">
        <v>85</v>
      </c>
      <c r="C376" t="s">
        <v>86</v>
      </c>
      <c r="D376" s="47">
        <v>9000</v>
      </c>
      <c r="E376" s="2"/>
      <c r="F376" s="37">
        <f t="shared" si="84"/>
        <v>0</v>
      </c>
      <c r="G376" s="2"/>
      <c r="H376" s="12">
        <f t="shared" si="85"/>
        <v>0</v>
      </c>
      <c r="I376" s="2"/>
      <c r="J376" s="16">
        <v>9000</v>
      </c>
      <c r="K376" s="2"/>
      <c r="L376" s="13">
        <f t="shared" si="86"/>
        <v>9.2233009708737865E-2</v>
      </c>
      <c r="M376" s="2"/>
      <c r="N376" s="12">
        <f t="shared" si="87"/>
        <v>760</v>
      </c>
      <c r="O376" s="2"/>
      <c r="P376" s="12">
        <v>8240</v>
      </c>
      <c r="R376" s="2"/>
    </row>
    <row r="377" spans="1:18" x14ac:dyDescent="0.25">
      <c r="A377" t="s">
        <v>191</v>
      </c>
      <c r="B377" t="s">
        <v>204</v>
      </c>
      <c r="C377" t="s">
        <v>205</v>
      </c>
      <c r="D377" s="47">
        <v>6000</v>
      </c>
      <c r="E377" s="2"/>
      <c r="F377" s="37">
        <f t="shared" si="84"/>
        <v>0</v>
      </c>
      <c r="G377" s="2"/>
      <c r="H377" s="12">
        <f t="shared" si="85"/>
        <v>0</v>
      </c>
      <c r="I377" s="2"/>
      <c r="J377" s="16">
        <v>6000</v>
      </c>
      <c r="K377" s="2"/>
      <c r="L377" s="13">
        <f t="shared" si="86"/>
        <v>0.33333333333333331</v>
      </c>
      <c r="M377" s="2"/>
      <c r="N377" s="12">
        <f t="shared" si="87"/>
        <v>1500</v>
      </c>
      <c r="O377" s="2"/>
      <c r="P377" s="12">
        <v>4500</v>
      </c>
      <c r="R377" s="2"/>
    </row>
    <row r="378" spans="1:18" x14ac:dyDescent="0.25">
      <c r="A378" t="s">
        <v>191</v>
      </c>
      <c r="B378" t="s">
        <v>157</v>
      </c>
      <c r="C378" t="s">
        <v>158</v>
      </c>
      <c r="D378" s="47">
        <v>32000</v>
      </c>
      <c r="E378" s="2"/>
      <c r="F378" s="37">
        <f t="shared" si="84"/>
        <v>0</v>
      </c>
      <c r="G378" s="2"/>
      <c r="H378" s="12">
        <f t="shared" si="85"/>
        <v>0</v>
      </c>
      <c r="I378" s="2"/>
      <c r="J378" s="16">
        <v>32000</v>
      </c>
      <c r="K378" s="2"/>
      <c r="L378" s="13">
        <f t="shared" si="86"/>
        <v>-9.379247847757137E-2</v>
      </c>
      <c r="M378" s="2"/>
      <c r="N378" s="12">
        <f t="shared" si="87"/>
        <v>-3312</v>
      </c>
      <c r="O378" s="2"/>
      <c r="P378" s="12">
        <v>35312</v>
      </c>
      <c r="R378" s="2"/>
    </row>
    <row r="379" spans="1:18" x14ac:dyDescent="0.25">
      <c r="A379" t="s">
        <v>191</v>
      </c>
      <c r="B379" t="s">
        <v>159</v>
      </c>
      <c r="C379" t="s">
        <v>160</v>
      </c>
      <c r="D379" s="47">
        <v>6500</v>
      </c>
      <c r="E379" s="2"/>
      <c r="F379" s="37">
        <f t="shared" si="84"/>
        <v>0</v>
      </c>
      <c r="G379" s="2"/>
      <c r="H379" s="12">
        <f t="shared" si="85"/>
        <v>0</v>
      </c>
      <c r="I379" s="2"/>
      <c r="J379" s="16">
        <v>6500</v>
      </c>
      <c r="K379" s="2"/>
      <c r="L379" s="13">
        <f t="shared" si="86"/>
        <v>0.3</v>
      </c>
      <c r="M379" s="2"/>
      <c r="N379" s="12">
        <f t="shared" si="87"/>
        <v>1500</v>
      </c>
      <c r="O379" s="2"/>
      <c r="P379" s="12">
        <v>5000</v>
      </c>
      <c r="R379" s="2"/>
    </row>
    <row r="380" spans="1:18" x14ac:dyDescent="0.25">
      <c r="A380" t="s">
        <v>191</v>
      </c>
      <c r="B380" t="s">
        <v>23</v>
      </c>
      <c r="C380" t="s">
        <v>24</v>
      </c>
      <c r="D380" s="47">
        <v>5200</v>
      </c>
      <c r="E380" s="2"/>
      <c r="F380" s="37">
        <f t="shared" si="84"/>
        <v>0</v>
      </c>
      <c r="G380" s="2"/>
      <c r="H380" s="12">
        <f t="shared" si="85"/>
        <v>0</v>
      </c>
      <c r="I380" s="2"/>
      <c r="J380" s="16">
        <v>5200</v>
      </c>
      <c r="K380" s="2"/>
      <c r="L380" s="13">
        <f t="shared" si="86"/>
        <v>0.3</v>
      </c>
      <c r="M380" s="2"/>
      <c r="N380" s="12">
        <f t="shared" si="87"/>
        <v>1200</v>
      </c>
      <c r="O380" s="2"/>
      <c r="P380" s="12">
        <v>4000</v>
      </c>
      <c r="R380" s="2"/>
    </row>
    <row r="381" spans="1:18" x14ac:dyDescent="0.25">
      <c r="A381" t="s">
        <v>191</v>
      </c>
      <c r="B381" t="s">
        <v>65</v>
      </c>
      <c r="C381" t="s">
        <v>66</v>
      </c>
      <c r="D381" s="47">
        <v>665</v>
      </c>
      <c r="E381" s="2"/>
      <c r="F381" s="37">
        <f t="shared" si="84"/>
        <v>0</v>
      </c>
      <c r="G381" s="2"/>
      <c r="H381" s="12">
        <f t="shared" si="85"/>
        <v>0</v>
      </c>
      <c r="I381" s="2"/>
      <c r="J381" s="16">
        <v>665</v>
      </c>
      <c r="K381" s="2"/>
      <c r="L381" s="13">
        <f t="shared" si="86"/>
        <v>0.33</v>
      </c>
      <c r="M381" s="2"/>
      <c r="N381" s="12">
        <f t="shared" si="87"/>
        <v>165</v>
      </c>
      <c r="O381" s="2"/>
      <c r="P381" s="12">
        <v>500</v>
      </c>
      <c r="R381" s="2"/>
    </row>
    <row r="382" spans="1:18" x14ac:dyDescent="0.25">
      <c r="A382" t="s">
        <v>191</v>
      </c>
      <c r="B382" t="s">
        <v>44</v>
      </c>
      <c r="C382" t="s">
        <v>45</v>
      </c>
      <c r="D382" s="47">
        <v>500</v>
      </c>
      <c r="E382" s="2"/>
      <c r="F382" s="37">
        <f t="shared" si="84"/>
        <v>0</v>
      </c>
      <c r="G382" s="2"/>
      <c r="H382" s="12">
        <f t="shared" si="85"/>
        <v>0</v>
      </c>
      <c r="I382" s="2"/>
      <c r="J382" s="16">
        <v>500</v>
      </c>
      <c r="K382" s="2"/>
      <c r="L382" s="13">
        <f t="shared" si="86"/>
        <v>0</v>
      </c>
      <c r="M382" s="2"/>
      <c r="N382" s="12">
        <f t="shared" si="87"/>
        <v>0</v>
      </c>
      <c r="O382" s="2"/>
      <c r="P382" s="12">
        <v>500</v>
      </c>
      <c r="R382" s="2"/>
    </row>
    <row r="383" spans="1:18" x14ac:dyDescent="0.25">
      <c r="A383" t="s">
        <v>191</v>
      </c>
      <c r="B383" t="s">
        <v>206</v>
      </c>
      <c r="C383" t="s">
        <v>207</v>
      </c>
      <c r="D383" s="47">
        <v>1200</v>
      </c>
      <c r="E383" s="2"/>
      <c r="F383" s="37">
        <f t="shared" si="84"/>
        <v>0</v>
      </c>
      <c r="G383" s="2"/>
      <c r="H383" s="12">
        <f t="shared" si="85"/>
        <v>0</v>
      </c>
      <c r="I383" s="2"/>
      <c r="J383" s="16">
        <v>1200</v>
      </c>
      <c r="K383" s="2"/>
      <c r="L383" s="13">
        <f t="shared" si="86"/>
        <v>0</v>
      </c>
      <c r="M383" s="2"/>
      <c r="N383" s="12">
        <f t="shared" si="87"/>
        <v>0</v>
      </c>
      <c r="O383" s="2"/>
      <c r="P383" s="12">
        <v>1200</v>
      </c>
      <c r="R383" s="2"/>
    </row>
    <row r="384" spans="1:18" x14ac:dyDescent="0.25">
      <c r="A384" t="s">
        <v>191</v>
      </c>
      <c r="B384" t="s">
        <v>67</v>
      </c>
      <c r="C384" t="s">
        <v>68</v>
      </c>
      <c r="D384" s="47">
        <v>28000</v>
      </c>
      <c r="E384" s="2"/>
      <c r="F384" s="37">
        <f t="shared" si="84"/>
        <v>0</v>
      </c>
      <c r="G384" s="2"/>
      <c r="H384" s="12">
        <f t="shared" si="85"/>
        <v>0</v>
      </c>
      <c r="I384" s="2"/>
      <c r="J384" s="16">
        <v>28000</v>
      </c>
      <c r="K384" s="2"/>
      <c r="L384" s="13">
        <f t="shared" si="86"/>
        <v>6.0606060606060608E-2</v>
      </c>
      <c r="M384" s="2"/>
      <c r="N384" s="12">
        <f t="shared" si="87"/>
        <v>1600</v>
      </c>
      <c r="O384" s="2"/>
      <c r="P384" s="12">
        <v>26400</v>
      </c>
      <c r="R384" s="2"/>
    </row>
    <row r="385" spans="1:18" x14ac:dyDescent="0.25">
      <c r="A385" t="s">
        <v>191</v>
      </c>
      <c r="B385" t="s">
        <v>121</v>
      </c>
      <c r="C385" t="s">
        <v>173</v>
      </c>
      <c r="D385" s="47">
        <v>570</v>
      </c>
      <c r="E385" s="2"/>
      <c r="F385" s="37">
        <f t="shared" si="84"/>
        <v>0.14000000000000001</v>
      </c>
      <c r="G385" s="2"/>
      <c r="H385" s="12">
        <f t="shared" si="85"/>
        <v>70</v>
      </c>
      <c r="I385" s="2"/>
      <c r="J385" s="16">
        <v>500</v>
      </c>
      <c r="K385" s="2"/>
      <c r="L385" s="13">
        <f t="shared" si="86"/>
        <v>0</v>
      </c>
      <c r="M385" s="2"/>
      <c r="N385" s="12">
        <f t="shared" si="87"/>
        <v>0</v>
      </c>
      <c r="O385" s="2"/>
      <c r="P385" s="12">
        <v>500</v>
      </c>
      <c r="R385" s="2"/>
    </row>
    <row r="386" spans="1:18" x14ac:dyDescent="0.25">
      <c r="A386" t="s">
        <v>191</v>
      </c>
      <c r="B386" t="s">
        <v>123</v>
      </c>
      <c r="C386" t="s">
        <v>124</v>
      </c>
      <c r="D386" s="47">
        <v>4020</v>
      </c>
      <c r="E386" s="2"/>
      <c r="F386" s="37">
        <f t="shared" si="84"/>
        <v>0</v>
      </c>
      <c r="G386" s="2"/>
      <c r="H386" s="12">
        <f t="shared" si="85"/>
        <v>0</v>
      </c>
      <c r="I386" s="2"/>
      <c r="J386" s="16">
        <v>4020</v>
      </c>
      <c r="K386" s="2"/>
      <c r="L386" s="13">
        <f t="shared" si="86"/>
        <v>0</v>
      </c>
      <c r="M386" s="2"/>
      <c r="N386" s="12">
        <f t="shared" si="87"/>
        <v>0</v>
      </c>
      <c r="O386" s="2"/>
      <c r="P386" s="12">
        <v>4020</v>
      </c>
      <c r="R386" s="2"/>
    </row>
    <row r="387" spans="1:18" x14ac:dyDescent="0.25">
      <c r="A387" t="s">
        <v>191</v>
      </c>
      <c r="B387" t="s">
        <v>125</v>
      </c>
      <c r="C387" t="s">
        <v>126</v>
      </c>
      <c r="D387" s="47">
        <v>637</v>
      </c>
      <c r="E387" s="2"/>
      <c r="F387" s="37">
        <f t="shared" si="84"/>
        <v>-0.15066666666666667</v>
      </c>
      <c r="G387" s="2"/>
      <c r="H387" s="12">
        <f t="shared" si="85"/>
        <v>-113</v>
      </c>
      <c r="I387" s="2"/>
      <c r="J387" s="16">
        <v>750</v>
      </c>
      <c r="K387" s="2"/>
      <c r="L387" s="13">
        <f t="shared" si="86"/>
        <v>0.22549019607843138</v>
      </c>
      <c r="M387" s="2"/>
      <c r="N387" s="12">
        <f t="shared" si="87"/>
        <v>138</v>
      </c>
      <c r="O387" s="2"/>
      <c r="P387" s="12">
        <v>612</v>
      </c>
      <c r="R387" s="2"/>
    </row>
    <row r="388" spans="1:18" x14ac:dyDescent="0.25">
      <c r="A388" t="s">
        <v>191</v>
      </c>
      <c r="B388" t="s">
        <v>208</v>
      </c>
      <c r="C388" t="s">
        <v>209</v>
      </c>
      <c r="D388" s="47">
        <v>25000</v>
      </c>
      <c r="E388" s="2"/>
      <c r="F388" s="37">
        <f t="shared" si="84"/>
        <v>0</v>
      </c>
      <c r="G388" s="2"/>
      <c r="H388" s="12">
        <f t="shared" si="85"/>
        <v>0</v>
      </c>
      <c r="I388" s="2"/>
      <c r="J388" s="16">
        <v>25000</v>
      </c>
      <c r="K388" s="2"/>
      <c r="L388" s="13">
        <f t="shared" si="86"/>
        <v>0</v>
      </c>
      <c r="M388" s="2"/>
      <c r="N388" s="12">
        <f t="shared" si="87"/>
        <v>0</v>
      </c>
      <c r="O388" s="2"/>
      <c r="P388" s="12">
        <v>25000</v>
      </c>
      <c r="R388" s="2"/>
    </row>
    <row r="389" spans="1:18" x14ac:dyDescent="0.25">
      <c r="A389" t="s">
        <v>191</v>
      </c>
      <c r="B389" t="s">
        <v>69</v>
      </c>
      <c r="C389" t="s">
        <v>70</v>
      </c>
      <c r="D389" s="47">
        <v>12000</v>
      </c>
      <c r="E389" s="2"/>
      <c r="F389" s="37">
        <f t="shared" si="84"/>
        <v>0</v>
      </c>
      <c r="G389" s="2"/>
      <c r="H389" s="12">
        <f t="shared" si="85"/>
        <v>0</v>
      </c>
      <c r="I389" s="2"/>
      <c r="J389" s="16">
        <v>12000</v>
      </c>
      <c r="K389" s="2"/>
      <c r="L389" s="13">
        <f t="shared" si="86"/>
        <v>0.5</v>
      </c>
      <c r="M389" s="2"/>
      <c r="N389" s="12">
        <f t="shared" si="87"/>
        <v>4000</v>
      </c>
      <c r="O389" s="2"/>
      <c r="P389" s="12">
        <v>8000</v>
      </c>
      <c r="R389" s="2"/>
    </row>
    <row r="390" spans="1:18" x14ac:dyDescent="0.25">
      <c r="A390" t="s">
        <v>191</v>
      </c>
      <c r="B390" t="s">
        <v>210</v>
      </c>
      <c r="C390" t="s">
        <v>211</v>
      </c>
      <c r="D390" s="47">
        <v>5000</v>
      </c>
      <c r="E390" s="2"/>
      <c r="F390" s="37">
        <f t="shared" si="84"/>
        <v>0</v>
      </c>
      <c r="G390" s="2"/>
      <c r="H390" s="12">
        <f t="shared" si="85"/>
        <v>0</v>
      </c>
      <c r="I390" s="2"/>
      <c r="J390" s="16">
        <v>5000</v>
      </c>
      <c r="K390" s="2"/>
      <c r="L390" s="13">
        <f t="shared" si="86"/>
        <v>0</v>
      </c>
      <c r="M390" s="2"/>
      <c r="N390" s="12">
        <f t="shared" si="87"/>
        <v>0</v>
      </c>
      <c r="O390" s="2"/>
      <c r="P390" s="12">
        <v>5000</v>
      </c>
      <c r="R390" s="2"/>
    </row>
    <row r="391" spans="1:18" x14ac:dyDescent="0.25">
      <c r="A391" t="s">
        <v>191</v>
      </c>
      <c r="B391" t="s">
        <v>212</v>
      </c>
      <c r="C391" t="s">
        <v>213</v>
      </c>
      <c r="D391" s="47">
        <v>1500</v>
      </c>
      <c r="E391" s="2"/>
      <c r="F391" s="37">
        <f t="shared" si="84"/>
        <v>0</v>
      </c>
      <c r="G391" s="2"/>
      <c r="H391" s="12">
        <f t="shared" si="85"/>
        <v>0</v>
      </c>
      <c r="I391" s="2"/>
      <c r="J391" s="16">
        <v>1500</v>
      </c>
      <c r="K391" s="2"/>
      <c r="L391" s="13">
        <f t="shared" si="86"/>
        <v>0</v>
      </c>
      <c r="M391" s="2"/>
      <c r="N391" s="12">
        <f t="shared" si="87"/>
        <v>0</v>
      </c>
      <c r="O391" s="2"/>
      <c r="P391" s="12">
        <v>1500</v>
      </c>
      <c r="R391" s="2"/>
    </row>
    <row r="392" spans="1:18" x14ac:dyDescent="0.25">
      <c r="A392" t="s">
        <v>191</v>
      </c>
      <c r="B392" t="s">
        <v>214</v>
      </c>
      <c r="C392" t="s">
        <v>215</v>
      </c>
      <c r="D392" s="47">
        <v>5000</v>
      </c>
      <c r="E392" s="2"/>
      <c r="F392" s="37">
        <f t="shared" si="84"/>
        <v>0</v>
      </c>
      <c r="G392" s="2"/>
      <c r="H392" s="12">
        <f t="shared" si="85"/>
        <v>0</v>
      </c>
      <c r="I392" s="2"/>
      <c r="J392" s="16">
        <v>5000</v>
      </c>
      <c r="K392" s="2"/>
      <c r="L392" s="13">
        <f t="shared" si="86"/>
        <v>0</v>
      </c>
      <c r="M392" s="2"/>
      <c r="N392" s="12">
        <f t="shared" si="87"/>
        <v>0</v>
      </c>
      <c r="O392" s="2"/>
      <c r="P392" s="12">
        <v>5000</v>
      </c>
      <c r="R392" s="2"/>
    </row>
    <row r="393" spans="1:18" x14ac:dyDescent="0.25">
      <c r="A393" t="s">
        <v>191</v>
      </c>
      <c r="B393" t="s">
        <v>216</v>
      </c>
      <c r="C393" t="s">
        <v>217</v>
      </c>
      <c r="D393" s="47">
        <v>6500</v>
      </c>
      <c r="E393" s="2"/>
      <c r="F393" s="37">
        <f t="shared" si="84"/>
        <v>0</v>
      </c>
      <c r="G393" s="2"/>
      <c r="H393" s="12">
        <f t="shared" si="85"/>
        <v>0</v>
      </c>
      <c r="I393" s="2"/>
      <c r="J393" s="16">
        <v>6500</v>
      </c>
      <c r="K393" s="2"/>
      <c r="L393" s="13">
        <f t="shared" si="86"/>
        <v>0</v>
      </c>
      <c r="M393" s="2"/>
      <c r="N393" s="12">
        <f t="shared" si="87"/>
        <v>0</v>
      </c>
      <c r="O393" s="2"/>
      <c r="P393" s="12">
        <v>6500</v>
      </c>
      <c r="R393" s="2"/>
    </row>
    <row r="394" spans="1:18" ht="120" x14ac:dyDescent="0.25">
      <c r="A394" s="1" t="s">
        <v>0</v>
      </c>
      <c r="B394" s="1" t="s">
        <v>1</v>
      </c>
      <c r="C394" s="1" t="s">
        <v>2</v>
      </c>
      <c r="D394" s="5" t="s">
        <v>337</v>
      </c>
      <c r="E394" s="1"/>
      <c r="F394" s="5" t="s">
        <v>409</v>
      </c>
      <c r="G394" s="1"/>
      <c r="H394" s="5" t="s">
        <v>410</v>
      </c>
      <c r="I394" s="1"/>
      <c r="J394" s="5" t="s">
        <v>336</v>
      </c>
      <c r="K394" s="1"/>
      <c r="L394" s="4" t="s">
        <v>344</v>
      </c>
      <c r="M394" s="1"/>
      <c r="N394" s="4" t="s">
        <v>342</v>
      </c>
      <c r="O394" s="1"/>
      <c r="P394" s="4" t="s">
        <v>335</v>
      </c>
      <c r="R394" s="1"/>
    </row>
    <row r="395" spans="1:18" x14ac:dyDescent="0.25">
      <c r="A395" t="s">
        <v>191</v>
      </c>
      <c r="B395" t="s">
        <v>174</v>
      </c>
      <c r="C395" t="s">
        <v>175</v>
      </c>
      <c r="D395" s="47">
        <v>2500</v>
      </c>
      <c r="E395" s="2"/>
      <c r="F395" s="37">
        <f t="shared" si="84"/>
        <v>0</v>
      </c>
      <c r="G395" s="2"/>
      <c r="H395" s="12">
        <f t="shared" si="85"/>
        <v>0</v>
      </c>
      <c r="I395" s="2"/>
      <c r="J395" s="16">
        <v>2500</v>
      </c>
      <c r="K395" s="2"/>
      <c r="L395" s="13">
        <f t="shared" si="86"/>
        <v>0.66666666666666663</v>
      </c>
      <c r="M395" s="2"/>
      <c r="N395" s="12">
        <f t="shared" si="87"/>
        <v>1000</v>
      </c>
      <c r="O395" s="2"/>
      <c r="P395" s="12">
        <v>1500</v>
      </c>
      <c r="R395" s="2"/>
    </row>
    <row r="396" spans="1:18" x14ac:dyDescent="0.25">
      <c r="A396" t="s">
        <v>191</v>
      </c>
      <c r="B396" t="s">
        <v>218</v>
      </c>
      <c r="C396" t="s">
        <v>219</v>
      </c>
      <c r="D396" s="47">
        <v>10000</v>
      </c>
      <c r="E396" s="2"/>
      <c r="F396" s="37">
        <f t="shared" si="84"/>
        <v>0</v>
      </c>
      <c r="G396" s="2"/>
      <c r="H396" s="12">
        <f t="shared" si="85"/>
        <v>0</v>
      </c>
      <c r="I396" s="2"/>
      <c r="J396" s="16">
        <v>10000</v>
      </c>
      <c r="K396" s="2"/>
      <c r="L396" s="13">
        <f t="shared" si="86"/>
        <v>0.53846153846153844</v>
      </c>
      <c r="M396" s="2"/>
      <c r="N396" s="12">
        <f t="shared" si="87"/>
        <v>3500</v>
      </c>
      <c r="O396" s="2"/>
      <c r="P396" s="12">
        <v>6500</v>
      </c>
      <c r="R396" s="2"/>
    </row>
    <row r="397" spans="1:18" x14ac:dyDescent="0.25">
      <c r="A397" t="s">
        <v>191</v>
      </c>
      <c r="B397" t="s">
        <v>220</v>
      </c>
      <c r="C397" t="s">
        <v>221</v>
      </c>
      <c r="D397" s="47">
        <v>3000</v>
      </c>
      <c r="E397" s="2"/>
      <c r="F397" s="37">
        <f t="shared" si="84"/>
        <v>0</v>
      </c>
      <c r="G397" s="2"/>
      <c r="H397" s="12">
        <f t="shared" si="85"/>
        <v>0</v>
      </c>
      <c r="I397" s="2"/>
      <c r="J397" s="16">
        <v>3000</v>
      </c>
      <c r="K397" s="2"/>
      <c r="L397" s="13">
        <f t="shared" si="86"/>
        <v>0</v>
      </c>
      <c r="M397" s="2"/>
      <c r="N397" s="12">
        <f t="shared" si="87"/>
        <v>0</v>
      </c>
      <c r="O397" s="2"/>
      <c r="P397" s="12">
        <v>3000</v>
      </c>
      <c r="R397" s="2"/>
    </row>
    <row r="398" spans="1:18" x14ac:dyDescent="0.25">
      <c r="A398" t="s">
        <v>191</v>
      </c>
      <c r="B398" t="s">
        <v>222</v>
      </c>
      <c r="C398" t="s">
        <v>223</v>
      </c>
      <c r="D398" s="47">
        <v>35000</v>
      </c>
      <c r="E398" s="2"/>
      <c r="F398" s="37">
        <f t="shared" si="84"/>
        <v>0</v>
      </c>
      <c r="G398" s="2"/>
      <c r="H398" s="12">
        <f t="shared" si="85"/>
        <v>0</v>
      </c>
      <c r="I398" s="2"/>
      <c r="J398" s="16">
        <v>35000</v>
      </c>
      <c r="K398" s="2"/>
      <c r="L398" s="13">
        <f t="shared" si="86"/>
        <v>0</v>
      </c>
      <c r="M398" s="2"/>
      <c r="N398" s="12">
        <f t="shared" si="87"/>
        <v>0</v>
      </c>
      <c r="O398" s="2"/>
      <c r="P398" s="12">
        <v>35000</v>
      </c>
      <c r="R398" s="2"/>
    </row>
    <row r="399" spans="1:18" x14ac:dyDescent="0.25">
      <c r="A399" t="s">
        <v>191</v>
      </c>
      <c r="B399" t="s">
        <v>71</v>
      </c>
      <c r="C399" t="s">
        <v>72</v>
      </c>
      <c r="D399" s="47">
        <f>185500+250000</f>
        <v>435500</v>
      </c>
      <c r="E399" s="2"/>
      <c r="F399" s="37">
        <f t="shared" si="84"/>
        <v>-0.42697368421052634</v>
      </c>
      <c r="G399" s="2"/>
      <c r="H399" s="12">
        <f t="shared" si="85"/>
        <v>-324500</v>
      </c>
      <c r="I399" s="2"/>
      <c r="J399" s="16">
        <v>760000</v>
      </c>
      <c r="K399" s="2"/>
      <c r="L399" s="13">
        <f t="shared" si="86"/>
        <v>4.8148431522570769</v>
      </c>
      <c r="M399" s="2"/>
      <c r="N399" s="12">
        <f t="shared" si="87"/>
        <v>629300</v>
      </c>
      <c r="O399" s="2"/>
      <c r="P399" s="12">
        <v>130700</v>
      </c>
      <c r="Q399" t="s">
        <v>431</v>
      </c>
      <c r="R399" s="2"/>
    </row>
    <row r="400" spans="1:18" x14ac:dyDescent="0.25">
      <c r="A400" t="s">
        <v>191</v>
      </c>
      <c r="B400" t="s">
        <v>224</v>
      </c>
      <c r="C400" t="s">
        <v>225</v>
      </c>
      <c r="D400" s="60">
        <v>0</v>
      </c>
      <c r="E400" s="2"/>
      <c r="F400" s="37">
        <f t="shared" si="84"/>
        <v>-1</v>
      </c>
      <c r="G400" s="2"/>
      <c r="H400" s="12">
        <f t="shared" si="85"/>
        <v>-475000</v>
      </c>
      <c r="I400" s="2"/>
      <c r="J400" s="16">
        <v>475000</v>
      </c>
      <c r="K400" s="2"/>
      <c r="L400" s="13">
        <f t="shared" si="86"/>
        <v>0</v>
      </c>
      <c r="M400" s="2"/>
      <c r="N400" s="12">
        <f t="shared" si="87"/>
        <v>0</v>
      </c>
      <c r="O400" s="2"/>
      <c r="P400" s="12">
        <v>475000</v>
      </c>
      <c r="R400" s="2"/>
    </row>
    <row r="401" spans="1:18" x14ac:dyDescent="0.25">
      <c r="D401" s="2"/>
      <c r="E401" s="2"/>
      <c r="F401" s="2"/>
      <c r="G401" s="2"/>
      <c r="H401" s="2"/>
      <c r="I401" s="2"/>
      <c r="J401" s="2"/>
      <c r="K401" s="2"/>
      <c r="M401" s="2"/>
      <c r="O401" s="2"/>
      <c r="R401" s="2"/>
    </row>
    <row r="402" spans="1:18" ht="31.5" customHeight="1" x14ac:dyDescent="0.25">
      <c r="A402" t="s">
        <v>5</v>
      </c>
      <c r="B402" t="s">
        <v>5</v>
      </c>
      <c r="C402" s="63" t="s">
        <v>384</v>
      </c>
      <c r="D402" s="8">
        <f>SUM(D351:D400)</f>
        <v>1775838</v>
      </c>
      <c r="E402" s="2"/>
      <c r="F402" s="15">
        <f>H402/J402</f>
        <v>-0.29894120991046474</v>
      </c>
      <c r="G402" s="2"/>
      <c r="H402" s="8">
        <f>SUM(H351:H400)</f>
        <v>-757242</v>
      </c>
      <c r="I402" s="2"/>
      <c r="J402" s="8">
        <f>SUM(J351:J400)</f>
        <v>2533080</v>
      </c>
      <c r="K402" s="2"/>
      <c r="L402" s="15">
        <f>N402/P402</f>
        <v>0.38313103018985373</v>
      </c>
      <c r="M402" s="2"/>
      <c r="N402" s="8">
        <f>SUM(N351:N400)</f>
        <v>701670</v>
      </c>
      <c r="O402" s="2"/>
      <c r="P402" s="8">
        <f>SUM(P351:P400)</f>
        <v>1831410</v>
      </c>
      <c r="R402" s="2"/>
    </row>
    <row r="403" spans="1:18" x14ac:dyDescent="0.25">
      <c r="D403" s="2"/>
      <c r="E403" s="2"/>
      <c r="F403" s="2"/>
      <c r="G403" s="2"/>
      <c r="H403" s="2"/>
      <c r="I403" s="2"/>
      <c r="J403" s="2"/>
      <c r="K403" s="2"/>
      <c r="M403" s="2"/>
      <c r="O403" s="2"/>
      <c r="R403" s="2"/>
    </row>
    <row r="404" spans="1:18" x14ac:dyDescent="0.25">
      <c r="A404" t="s">
        <v>226</v>
      </c>
      <c r="B404" t="s">
        <v>61</v>
      </c>
      <c r="C404" t="s">
        <v>75</v>
      </c>
      <c r="D404" s="12">
        <v>65000</v>
      </c>
      <c r="E404" s="2"/>
      <c r="F404" s="37">
        <f t="shared" ref="F404:F410" si="88">H404/J404</f>
        <v>0</v>
      </c>
      <c r="G404" s="2"/>
      <c r="H404" s="12">
        <f t="shared" ref="H404:H410" si="89">D404-J404</f>
        <v>0</v>
      </c>
      <c r="I404" s="2"/>
      <c r="J404" s="12">
        <v>65000</v>
      </c>
      <c r="K404" s="2"/>
      <c r="L404" s="13">
        <f t="shared" ref="L404:L410" si="90">N404/P404</f>
        <v>0</v>
      </c>
      <c r="M404" s="2"/>
      <c r="N404" s="12">
        <f t="shared" ref="N404:N410" si="91">J404-P404</f>
        <v>0</v>
      </c>
      <c r="O404" s="2"/>
      <c r="P404" s="12">
        <v>65000</v>
      </c>
      <c r="R404" s="2"/>
    </row>
    <row r="405" spans="1:18" x14ac:dyDescent="0.25">
      <c r="A405" t="s">
        <v>226</v>
      </c>
      <c r="B405" t="s">
        <v>9</v>
      </c>
      <c r="C405" t="s">
        <v>10</v>
      </c>
      <c r="D405" s="12">
        <f>ROUNDUP((5435.46),0)</f>
        <v>5436</v>
      </c>
      <c r="E405" s="2"/>
      <c r="F405" s="37">
        <f t="shared" si="88"/>
        <v>0</v>
      </c>
      <c r="G405" s="2"/>
      <c r="H405" s="12">
        <f t="shared" si="89"/>
        <v>0</v>
      </c>
      <c r="I405" s="2"/>
      <c r="J405" s="12">
        <f>ROUNDUP((5435.46),0)</f>
        <v>5436</v>
      </c>
      <c r="K405" s="2"/>
      <c r="L405" s="13">
        <f t="shared" si="90"/>
        <v>2.4383301707779887</v>
      </c>
      <c r="M405" s="2"/>
      <c r="N405" s="12">
        <f t="shared" si="91"/>
        <v>3855</v>
      </c>
      <c r="O405" s="2"/>
      <c r="P405" s="12">
        <v>1581</v>
      </c>
      <c r="R405" s="2"/>
    </row>
    <row r="406" spans="1:18" x14ac:dyDescent="0.25">
      <c r="A406" t="s">
        <v>226</v>
      </c>
      <c r="B406" t="s">
        <v>36</v>
      </c>
      <c r="C406" t="s">
        <v>37</v>
      </c>
      <c r="D406" s="12">
        <f>ROUNDUP((6630),0)</f>
        <v>6630</v>
      </c>
      <c r="E406" s="2"/>
      <c r="F406" s="37">
        <f t="shared" si="88"/>
        <v>0</v>
      </c>
      <c r="G406" s="2"/>
      <c r="H406" s="12">
        <f t="shared" si="89"/>
        <v>0</v>
      </c>
      <c r="I406" s="2"/>
      <c r="J406" s="12">
        <f>ROUNDUP((6630),0)</f>
        <v>6630</v>
      </c>
      <c r="K406" s="2"/>
      <c r="L406" s="13">
        <f t="shared" si="90"/>
        <v>0</v>
      </c>
      <c r="M406" s="2"/>
      <c r="N406" s="12">
        <f t="shared" si="91"/>
        <v>0</v>
      </c>
      <c r="O406" s="2"/>
      <c r="P406" s="12">
        <v>6630</v>
      </c>
      <c r="R406" s="2"/>
    </row>
    <row r="407" spans="1:18" x14ac:dyDescent="0.25">
      <c r="A407" t="s">
        <v>226</v>
      </c>
      <c r="B407" t="s">
        <v>11</v>
      </c>
      <c r="C407" t="s">
        <v>12</v>
      </c>
      <c r="D407" s="12">
        <f>ROUNDUP((4972.5),0)</f>
        <v>4973</v>
      </c>
      <c r="E407" s="2"/>
      <c r="F407" s="37">
        <f t="shared" si="88"/>
        <v>0</v>
      </c>
      <c r="G407" s="2"/>
      <c r="H407" s="12">
        <f t="shared" si="89"/>
        <v>0</v>
      </c>
      <c r="I407" s="2"/>
      <c r="J407" s="12">
        <v>4973</v>
      </c>
      <c r="K407" s="2"/>
      <c r="L407" s="13">
        <f t="shared" si="90"/>
        <v>0</v>
      </c>
      <c r="M407" s="2"/>
      <c r="N407" s="12">
        <f t="shared" si="91"/>
        <v>0</v>
      </c>
      <c r="O407" s="2"/>
      <c r="P407" s="12">
        <v>4973</v>
      </c>
      <c r="R407" s="2"/>
    </row>
    <row r="408" spans="1:18" x14ac:dyDescent="0.25">
      <c r="A408" t="s">
        <v>226</v>
      </c>
      <c r="B408" t="s">
        <v>227</v>
      </c>
      <c r="C408" t="s">
        <v>228</v>
      </c>
      <c r="D408" s="12">
        <v>312000</v>
      </c>
      <c r="E408" s="2"/>
      <c r="F408" s="37">
        <f t="shared" si="88"/>
        <v>0</v>
      </c>
      <c r="G408" s="2"/>
      <c r="H408" s="12">
        <f t="shared" si="89"/>
        <v>0</v>
      </c>
      <c r="I408" s="2"/>
      <c r="J408" s="12">
        <v>312000</v>
      </c>
      <c r="K408" s="2"/>
      <c r="L408" s="13">
        <f t="shared" si="90"/>
        <v>0.62205158331990285</v>
      </c>
      <c r="M408" s="2"/>
      <c r="N408" s="12">
        <f t="shared" si="91"/>
        <v>119651</v>
      </c>
      <c r="O408" s="2"/>
      <c r="P408" s="12">
        <v>192349</v>
      </c>
      <c r="Q408" t="s">
        <v>385</v>
      </c>
      <c r="R408" s="2"/>
    </row>
    <row r="409" spans="1:18" x14ac:dyDescent="0.25">
      <c r="A409" t="s">
        <v>226</v>
      </c>
      <c r="B409" t="s">
        <v>169</v>
      </c>
      <c r="C409" t="s">
        <v>170</v>
      </c>
      <c r="D409" s="12">
        <v>55000</v>
      </c>
      <c r="E409" s="2"/>
      <c r="F409" s="37">
        <f t="shared" si="88"/>
        <v>0</v>
      </c>
      <c r="G409" s="2"/>
      <c r="H409" s="12">
        <f t="shared" si="89"/>
        <v>0</v>
      </c>
      <c r="I409" s="2"/>
      <c r="J409" s="12">
        <v>55000</v>
      </c>
      <c r="K409" s="2"/>
      <c r="L409" s="13">
        <f t="shared" si="90"/>
        <v>0.5714285714285714</v>
      </c>
      <c r="M409" s="2"/>
      <c r="N409" s="12">
        <f t="shared" si="91"/>
        <v>20000</v>
      </c>
      <c r="O409" s="2"/>
      <c r="P409" s="12">
        <v>35000</v>
      </c>
      <c r="R409" s="2"/>
    </row>
    <row r="410" spans="1:18" x14ac:dyDescent="0.25">
      <c r="A410" t="s">
        <v>226</v>
      </c>
      <c r="B410" t="s">
        <v>51</v>
      </c>
      <c r="C410" t="s">
        <v>52</v>
      </c>
      <c r="D410" s="12">
        <v>50000</v>
      </c>
      <c r="E410" s="2"/>
      <c r="F410" s="37">
        <f t="shared" si="88"/>
        <v>0</v>
      </c>
      <c r="G410" s="2"/>
      <c r="H410" s="12">
        <f t="shared" si="89"/>
        <v>0</v>
      </c>
      <c r="I410" s="2"/>
      <c r="J410" s="12">
        <v>50000</v>
      </c>
      <c r="K410" s="2"/>
      <c r="L410" s="13">
        <f t="shared" si="90"/>
        <v>0</v>
      </c>
      <c r="M410" s="2"/>
      <c r="N410" s="12">
        <f t="shared" si="91"/>
        <v>0</v>
      </c>
      <c r="O410" s="2"/>
      <c r="P410" s="12">
        <v>50000</v>
      </c>
      <c r="R410" s="2"/>
    </row>
    <row r="411" spans="1:18" x14ac:dyDescent="0.25">
      <c r="D411" s="2"/>
      <c r="E411" s="2"/>
      <c r="F411" s="2"/>
      <c r="G411" s="2"/>
      <c r="H411" s="2"/>
      <c r="I411" s="2"/>
      <c r="J411" s="2"/>
      <c r="K411" s="2"/>
      <c r="M411" s="2"/>
      <c r="O411" s="2"/>
      <c r="R411" s="2"/>
    </row>
    <row r="412" spans="1:18" x14ac:dyDescent="0.25">
      <c r="A412" t="s">
        <v>5</v>
      </c>
      <c r="B412" t="s">
        <v>5</v>
      </c>
      <c r="C412" s="1" t="s">
        <v>383</v>
      </c>
      <c r="D412" s="8">
        <f>SUM(D404:D410)</f>
        <v>499039</v>
      </c>
      <c r="E412" s="2"/>
      <c r="F412" s="15">
        <f>H412/J412</f>
        <v>0</v>
      </c>
      <c r="G412" s="2"/>
      <c r="H412" s="8">
        <f>SUM(H404:H410)</f>
        <v>0</v>
      </c>
      <c r="I412" s="2"/>
      <c r="J412" s="8">
        <f>SUM(J404:J410)</f>
        <v>499039</v>
      </c>
      <c r="K412" s="2"/>
      <c r="L412" s="15">
        <f>N412/P412</f>
        <v>0.40363623067338333</v>
      </c>
      <c r="M412" s="2"/>
      <c r="N412" s="8">
        <f>SUM(N404:N410)</f>
        <v>143506</v>
      </c>
      <c r="O412" s="2"/>
      <c r="P412" s="8">
        <f>SUM(P404:P410)</f>
        <v>355533</v>
      </c>
      <c r="R412" s="2"/>
    </row>
    <row r="413" spans="1:18" x14ac:dyDescent="0.25">
      <c r="D413" s="2"/>
      <c r="E413" s="2"/>
      <c r="F413" s="2"/>
      <c r="G413" s="2"/>
      <c r="H413" s="2"/>
      <c r="I413" s="2"/>
      <c r="J413" s="2"/>
      <c r="K413" s="2"/>
      <c r="M413" s="2"/>
      <c r="O413" s="2"/>
      <c r="R413" s="2"/>
    </row>
    <row r="414" spans="1:18" x14ac:dyDescent="0.25">
      <c r="A414" t="s">
        <v>229</v>
      </c>
      <c r="B414" t="s">
        <v>30</v>
      </c>
      <c r="C414" t="s">
        <v>31</v>
      </c>
      <c r="D414" s="47">
        <f>ROUNDUP((225997.93),0)</f>
        <v>225998</v>
      </c>
      <c r="E414" s="2"/>
      <c r="F414" s="37">
        <f t="shared" ref="F414:F443" si="92">H414/J414</f>
        <v>0.25005807843354166</v>
      </c>
      <c r="G414" s="2"/>
      <c r="H414" s="12">
        <f t="shared" ref="H414:H443" si="93">D414-J414</f>
        <v>45208</v>
      </c>
      <c r="I414" s="2"/>
      <c r="J414" s="16">
        <f>ROUNDUP((180789.13),0)</f>
        <v>180790</v>
      </c>
      <c r="K414" s="2"/>
      <c r="L414" s="13">
        <f t="shared" ref="L414:L442" si="94">N414/P414</f>
        <v>-0.15168663222549117</v>
      </c>
      <c r="M414" s="2"/>
      <c r="N414" s="12">
        <f t="shared" ref="N414:N443" si="95">J414-P414</f>
        <v>-32327</v>
      </c>
      <c r="O414" s="2"/>
      <c r="P414" s="12">
        <v>213117</v>
      </c>
      <c r="R414" s="2"/>
    </row>
    <row r="415" spans="1:18" x14ac:dyDescent="0.25">
      <c r="A415" t="s">
        <v>229</v>
      </c>
      <c r="B415" t="s">
        <v>141</v>
      </c>
      <c r="C415" t="s">
        <v>230</v>
      </c>
      <c r="D415" s="47">
        <v>5600</v>
      </c>
      <c r="E415" s="2"/>
      <c r="F415" s="37">
        <f t="shared" si="92"/>
        <v>0</v>
      </c>
      <c r="G415" s="2"/>
      <c r="H415" s="12">
        <f t="shared" si="93"/>
        <v>0</v>
      </c>
      <c r="I415" s="2"/>
      <c r="J415" s="16">
        <v>5600</v>
      </c>
      <c r="K415" s="2"/>
      <c r="L415" s="13">
        <f t="shared" si="94"/>
        <v>0</v>
      </c>
      <c r="M415" s="2"/>
      <c r="N415" s="12">
        <f t="shared" si="95"/>
        <v>0</v>
      </c>
      <c r="O415" s="2"/>
      <c r="P415" s="12">
        <v>5600</v>
      </c>
      <c r="R415" s="2"/>
    </row>
    <row r="416" spans="1:18" x14ac:dyDescent="0.25">
      <c r="A416" t="s">
        <v>229</v>
      </c>
      <c r="B416" t="s">
        <v>61</v>
      </c>
      <c r="C416" t="s">
        <v>62</v>
      </c>
      <c r="D416" s="47">
        <v>0</v>
      </c>
      <c r="E416" s="2"/>
      <c r="F416" s="37">
        <v>0</v>
      </c>
      <c r="G416" s="2"/>
      <c r="H416" s="12">
        <f t="shared" si="93"/>
        <v>0</v>
      </c>
      <c r="I416" s="2"/>
      <c r="J416" s="16">
        <v>0</v>
      </c>
      <c r="K416" s="2"/>
      <c r="L416" s="13">
        <v>0</v>
      </c>
      <c r="M416" s="2"/>
      <c r="N416" s="12">
        <f t="shared" si="95"/>
        <v>0</v>
      </c>
      <c r="O416" s="2"/>
      <c r="P416" s="12">
        <v>0</v>
      </c>
      <c r="R416" s="2"/>
    </row>
    <row r="417" spans="1:18" x14ac:dyDescent="0.25">
      <c r="A417" t="s">
        <v>229</v>
      </c>
      <c r="B417" t="s">
        <v>34</v>
      </c>
      <c r="C417" t="s">
        <v>35</v>
      </c>
      <c r="D417" s="47">
        <f>ROUNDUP((411.6),0)</f>
        <v>412</v>
      </c>
      <c r="E417" s="2"/>
      <c r="F417" s="37">
        <f t="shared" si="92"/>
        <v>0.16713881019830029</v>
      </c>
      <c r="G417" s="2"/>
      <c r="H417" s="12">
        <f t="shared" si="93"/>
        <v>59</v>
      </c>
      <c r="I417" s="2"/>
      <c r="J417" s="16">
        <f>ROUNDUP((352.8),0)</f>
        <v>353</v>
      </c>
      <c r="K417" s="2"/>
      <c r="L417" s="13">
        <f t="shared" si="94"/>
        <v>-0.26458333333333334</v>
      </c>
      <c r="M417" s="2"/>
      <c r="N417" s="12">
        <f t="shared" si="95"/>
        <v>-127</v>
      </c>
      <c r="O417" s="2"/>
      <c r="P417" s="12">
        <v>480</v>
      </c>
      <c r="R417" s="2"/>
    </row>
    <row r="418" spans="1:18" x14ac:dyDescent="0.25">
      <c r="A418" t="s">
        <v>229</v>
      </c>
      <c r="B418" t="s">
        <v>9</v>
      </c>
      <c r="C418" t="s">
        <v>10</v>
      </c>
      <c r="D418" s="47">
        <f>ROUNDUP((12317.57),0)</f>
        <v>12318</v>
      </c>
      <c r="E418" s="2"/>
      <c r="F418" s="37">
        <f t="shared" si="92"/>
        <v>0.25005074081591233</v>
      </c>
      <c r="G418" s="2"/>
      <c r="H418" s="12">
        <f t="shared" si="93"/>
        <v>2464</v>
      </c>
      <c r="I418" s="2"/>
      <c r="J418" s="16">
        <f>ROUNDUP((9853.55),0)</f>
        <v>9854</v>
      </c>
      <c r="K418" s="2"/>
      <c r="L418" s="13">
        <f t="shared" si="94"/>
        <v>0.38671545173093158</v>
      </c>
      <c r="M418" s="2"/>
      <c r="N418" s="12">
        <f t="shared" si="95"/>
        <v>2748</v>
      </c>
      <c r="O418" s="2"/>
      <c r="P418" s="12">
        <v>7106</v>
      </c>
      <c r="R418" s="2"/>
    </row>
    <row r="419" spans="1:18" x14ac:dyDescent="0.25">
      <c r="A419" t="s">
        <v>229</v>
      </c>
      <c r="B419" t="s">
        <v>36</v>
      </c>
      <c r="C419" t="s">
        <v>37</v>
      </c>
      <c r="D419" s="47">
        <f>ROUNDUP((23051.79),0)</f>
        <v>23052</v>
      </c>
      <c r="E419" s="2"/>
      <c r="F419" s="37">
        <f t="shared" si="92"/>
        <v>0.2500406702456483</v>
      </c>
      <c r="G419" s="2"/>
      <c r="H419" s="12">
        <f t="shared" si="93"/>
        <v>4611</v>
      </c>
      <c r="I419" s="2"/>
      <c r="J419" s="16">
        <f>ROUNDUP((18440.49),0)</f>
        <v>18441</v>
      </c>
      <c r="K419" s="2"/>
      <c r="L419" s="13">
        <f t="shared" si="94"/>
        <v>-0.15166988683411536</v>
      </c>
      <c r="M419" s="2"/>
      <c r="N419" s="12">
        <f t="shared" si="95"/>
        <v>-3297</v>
      </c>
      <c r="O419" s="2"/>
      <c r="P419" s="12">
        <v>21738</v>
      </c>
      <c r="R419" s="2"/>
    </row>
    <row r="420" spans="1:18" x14ac:dyDescent="0.25">
      <c r="A420" t="s">
        <v>229</v>
      </c>
      <c r="B420" t="s">
        <v>38</v>
      </c>
      <c r="C420" t="s">
        <v>39</v>
      </c>
      <c r="D420" s="47">
        <f>ROUNDUP((57032.15),0)</f>
        <v>57033</v>
      </c>
      <c r="E420" s="2"/>
      <c r="F420" s="37">
        <f t="shared" si="92"/>
        <v>0.81819051262433051</v>
      </c>
      <c r="G420" s="2"/>
      <c r="H420" s="12">
        <f t="shared" si="93"/>
        <v>25665</v>
      </c>
      <c r="I420" s="2"/>
      <c r="J420" s="16">
        <f>ROUNDUP((31367.16),0)</f>
        <v>31368</v>
      </c>
      <c r="K420" s="2"/>
      <c r="L420" s="13">
        <f t="shared" si="94"/>
        <v>-0.38017704710717676</v>
      </c>
      <c r="M420" s="2"/>
      <c r="N420" s="12">
        <f t="shared" si="95"/>
        <v>-19240</v>
      </c>
      <c r="O420" s="2"/>
      <c r="P420" s="12">
        <v>50608</v>
      </c>
      <c r="R420" s="2"/>
    </row>
    <row r="421" spans="1:18" x14ac:dyDescent="0.25">
      <c r="A421" t="s">
        <v>229</v>
      </c>
      <c r="B421" t="s">
        <v>11</v>
      </c>
      <c r="C421" t="s">
        <v>12</v>
      </c>
      <c r="D421" s="47">
        <f>ROUNDUP((17717.24),0)</f>
        <v>17718</v>
      </c>
      <c r="E421" s="2"/>
      <c r="F421" s="37">
        <f t="shared" si="92"/>
        <v>0.2425836313907006</v>
      </c>
      <c r="G421" s="2"/>
      <c r="H421" s="12">
        <f t="shared" si="93"/>
        <v>3459</v>
      </c>
      <c r="I421" s="2"/>
      <c r="J421" s="16">
        <f>ROUNDUP((14258.77),0)</f>
        <v>14259</v>
      </c>
      <c r="K421" s="2"/>
      <c r="L421" s="13">
        <f t="shared" si="94"/>
        <v>-0.14780062156347118</v>
      </c>
      <c r="M421" s="2"/>
      <c r="N421" s="12">
        <f t="shared" si="95"/>
        <v>-2473</v>
      </c>
      <c r="O421" s="2"/>
      <c r="P421" s="12">
        <v>16732</v>
      </c>
      <c r="R421" s="2"/>
    </row>
    <row r="422" spans="1:18" x14ac:dyDescent="0.25">
      <c r="A422" t="s">
        <v>229</v>
      </c>
      <c r="B422" t="s">
        <v>192</v>
      </c>
      <c r="C422" t="s">
        <v>193</v>
      </c>
      <c r="D422" s="47">
        <v>750</v>
      </c>
      <c r="E422" s="2"/>
      <c r="F422" s="37">
        <f t="shared" si="92"/>
        <v>0</v>
      </c>
      <c r="G422" s="2"/>
      <c r="H422" s="12">
        <f t="shared" si="93"/>
        <v>0</v>
      </c>
      <c r="I422" s="2"/>
      <c r="J422" s="16">
        <v>750</v>
      </c>
      <c r="K422" s="2"/>
      <c r="L422" s="13">
        <f t="shared" si="94"/>
        <v>0.5</v>
      </c>
      <c r="M422" s="2"/>
      <c r="N422" s="12">
        <f t="shared" si="95"/>
        <v>250</v>
      </c>
      <c r="O422" s="2"/>
      <c r="P422" s="12">
        <v>500</v>
      </c>
      <c r="R422" s="2"/>
    </row>
    <row r="423" spans="1:18" x14ac:dyDescent="0.25">
      <c r="A423" t="s">
        <v>229</v>
      </c>
      <c r="B423" t="s">
        <v>13</v>
      </c>
      <c r="C423" t="s">
        <v>14</v>
      </c>
      <c r="D423" s="47">
        <v>500</v>
      </c>
      <c r="E423" s="2"/>
      <c r="F423" s="37">
        <f t="shared" si="92"/>
        <v>0</v>
      </c>
      <c r="G423" s="2"/>
      <c r="H423" s="12">
        <f t="shared" si="93"/>
        <v>0</v>
      </c>
      <c r="I423" s="2"/>
      <c r="J423" s="16">
        <v>500</v>
      </c>
      <c r="K423" s="2"/>
      <c r="L423" s="13">
        <f t="shared" si="94"/>
        <v>0</v>
      </c>
      <c r="M423" s="2"/>
      <c r="N423" s="12">
        <f t="shared" si="95"/>
        <v>0</v>
      </c>
      <c r="O423" s="2"/>
      <c r="P423" s="12">
        <v>500</v>
      </c>
      <c r="R423" s="2"/>
    </row>
    <row r="424" spans="1:18" x14ac:dyDescent="0.25">
      <c r="A424" t="s">
        <v>229</v>
      </c>
      <c r="B424" t="s">
        <v>15</v>
      </c>
      <c r="C424" t="s">
        <v>16</v>
      </c>
      <c r="D424" s="47">
        <v>6000</v>
      </c>
      <c r="E424" s="2"/>
      <c r="F424" s="37">
        <f t="shared" si="92"/>
        <v>0</v>
      </c>
      <c r="G424" s="2"/>
      <c r="H424" s="12">
        <f t="shared" si="93"/>
        <v>0</v>
      </c>
      <c r="I424" s="2"/>
      <c r="J424" s="16">
        <v>6000</v>
      </c>
      <c r="K424" s="2"/>
      <c r="L424" s="13">
        <f t="shared" si="94"/>
        <v>0</v>
      </c>
      <c r="M424" s="2"/>
      <c r="N424" s="12">
        <f t="shared" si="95"/>
        <v>0</v>
      </c>
      <c r="O424" s="2"/>
      <c r="P424" s="12">
        <v>6000</v>
      </c>
      <c r="R424" s="2"/>
    </row>
    <row r="425" spans="1:18" x14ac:dyDescent="0.25">
      <c r="A425" t="s">
        <v>229</v>
      </c>
      <c r="B425" t="s">
        <v>19</v>
      </c>
      <c r="C425" t="s">
        <v>20</v>
      </c>
      <c r="D425" s="47">
        <v>80</v>
      </c>
      <c r="E425" s="2"/>
      <c r="F425" s="37">
        <f t="shared" si="92"/>
        <v>0</v>
      </c>
      <c r="G425" s="2"/>
      <c r="H425" s="12">
        <f t="shared" si="93"/>
        <v>0</v>
      </c>
      <c r="I425" s="2"/>
      <c r="J425" s="16">
        <v>80</v>
      </c>
      <c r="K425" s="2"/>
      <c r="L425" s="13">
        <f t="shared" si="94"/>
        <v>0</v>
      </c>
      <c r="M425" s="2"/>
      <c r="N425" s="12">
        <f t="shared" si="95"/>
        <v>0</v>
      </c>
      <c r="O425" s="2"/>
      <c r="P425" s="12">
        <v>80</v>
      </c>
      <c r="R425" s="2"/>
    </row>
    <row r="426" spans="1:18" x14ac:dyDescent="0.25">
      <c r="A426" t="s">
        <v>229</v>
      </c>
      <c r="B426" t="s">
        <v>21</v>
      </c>
      <c r="C426" t="s">
        <v>22</v>
      </c>
      <c r="D426" s="47">
        <v>100</v>
      </c>
      <c r="E426" s="2"/>
      <c r="F426" s="37">
        <f t="shared" si="92"/>
        <v>0</v>
      </c>
      <c r="G426" s="2"/>
      <c r="H426" s="12">
        <f t="shared" si="93"/>
        <v>0</v>
      </c>
      <c r="I426" s="2"/>
      <c r="J426" s="16">
        <v>100</v>
      </c>
      <c r="K426" s="2"/>
      <c r="L426" s="13">
        <f t="shared" si="94"/>
        <v>0</v>
      </c>
      <c r="M426" s="2"/>
      <c r="N426" s="12">
        <f t="shared" si="95"/>
        <v>0</v>
      </c>
      <c r="O426" s="2"/>
      <c r="P426" s="12">
        <v>100</v>
      </c>
      <c r="R426" s="2"/>
    </row>
    <row r="427" spans="1:18" x14ac:dyDescent="0.25">
      <c r="A427" t="s">
        <v>229</v>
      </c>
      <c r="B427" t="s">
        <v>63</v>
      </c>
      <c r="C427" t="s">
        <v>64</v>
      </c>
      <c r="D427" s="47">
        <v>1500</v>
      </c>
      <c r="E427" s="2"/>
      <c r="F427" s="37">
        <f t="shared" si="92"/>
        <v>0</v>
      </c>
      <c r="G427" s="2"/>
      <c r="H427" s="12">
        <f t="shared" si="93"/>
        <v>0</v>
      </c>
      <c r="I427" s="2"/>
      <c r="J427" s="16">
        <v>1500</v>
      </c>
      <c r="K427" s="2"/>
      <c r="L427" s="13">
        <f t="shared" si="94"/>
        <v>0</v>
      </c>
      <c r="M427" s="2"/>
      <c r="N427" s="12">
        <f t="shared" si="95"/>
        <v>0</v>
      </c>
      <c r="O427" s="2"/>
      <c r="P427" s="12">
        <v>1500</v>
      </c>
      <c r="R427" s="2"/>
    </row>
    <row r="428" spans="1:18" x14ac:dyDescent="0.25">
      <c r="A428" t="s">
        <v>229</v>
      </c>
      <c r="B428" t="s">
        <v>194</v>
      </c>
      <c r="C428" t="s">
        <v>195</v>
      </c>
      <c r="D428" s="47">
        <v>350</v>
      </c>
      <c r="E428" s="2"/>
      <c r="F428" s="37">
        <f t="shared" si="92"/>
        <v>0</v>
      </c>
      <c r="G428" s="2"/>
      <c r="H428" s="12">
        <f t="shared" si="93"/>
        <v>0</v>
      </c>
      <c r="I428" s="2"/>
      <c r="J428" s="16">
        <v>350</v>
      </c>
      <c r="K428" s="2"/>
      <c r="L428" s="13">
        <f t="shared" si="94"/>
        <v>0</v>
      </c>
      <c r="M428" s="2"/>
      <c r="N428" s="12">
        <f t="shared" si="95"/>
        <v>0</v>
      </c>
      <c r="O428" s="2"/>
      <c r="P428" s="12">
        <v>350</v>
      </c>
      <c r="R428" s="2"/>
    </row>
    <row r="429" spans="1:18" x14ac:dyDescent="0.25">
      <c r="A429" t="s">
        <v>229</v>
      </c>
      <c r="B429" t="s">
        <v>153</v>
      </c>
      <c r="C429" t="s">
        <v>154</v>
      </c>
      <c r="D429" s="47">
        <v>3500</v>
      </c>
      <c r="E429" s="2"/>
      <c r="F429" s="37">
        <f t="shared" si="92"/>
        <v>0</v>
      </c>
      <c r="G429" s="2"/>
      <c r="H429" s="12">
        <f t="shared" si="93"/>
        <v>0</v>
      </c>
      <c r="I429" s="2"/>
      <c r="J429" s="16">
        <v>3500</v>
      </c>
      <c r="K429" s="2"/>
      <c r="L429" s="13">
        <f t="shared" si="94"/>
        <v>0</v>
      </c>
      <c r="M429" s="2"/>
      <c r="N429" s="12">
        <f t="shared" si="95"/>
        <v>0</v>
      </c>
      <c r="O429" s="2"/>
      <c r="P429" s="12">
        <v>3500</v>
      </c>
      <c r="R429" s="2"/>
    </row>
    <row r="430" spans="1:18" x14ac:dyDescent="0.25">
      <c r="A430" t="s">
        <v>229</v>
      </c>
      <c r="B430" t="s">
        <v>40</v>
      </c>
      <c r="C430" t="s">
        <v>137</v>
      </c>
      <c r="D430" s="47">
        <v>420</v>
      </c>
      <c r="E430" s="2"/>
      <c r="F430" s="37">
        <f t="shared" si="92"/>
        <v>0</v>
      </c>
      <c r="G430" s="2"/>
      <c r="H430" s="12">
        <f t="shared" si="93"/>
        <v>0</v>
      </c>
      <c r="I430" s="2"/>
      <c r="J430" s="16">
        <v>420</v>
      </c>
      <c r="K430" s="2"/>
      <c r="L430" s="13">
        <f t="shared" si="94"/>
        <v>0</v>
      </c>
      <c r="M430" s="2"/>
      <c r="N430" s="12">
        <f t="shared" si="95"/>
        <v>0</v>
      </c>
      <c r="O430" s="2"/>
      <c r="P430" s="12">
        <v>420</v>
      </c>
      <c r="R430" s="2"/>
    </row>
    <row r="431" spans="1:18" x14ac:dyDescent="0.25">
      <c r="A431" t="s">
        <v>229</v>
      </c>
      <c r="B431" t="s">
        <v>231</v>
      </c>
      <c r="C431" t="s">
        <v>232</v>
      </c>
      <c r="D431" s="47">
        <v>5000</v>
      </c>
      <c r="E431" s="2"/>
      <c r="F431" s="37">
        <f t="shared" si="92"/>
        <v>0</v>
      </c>
      <c r="G431" s="2"/>
      <c r="H431" s="12">
        <f t="shared" si="93"/>
        <v>0</v>
      </c>
      <c r="I431" s="2"/>
      <c r="J431" s="16">
        <v>5000</v>
      </c>
      <c r="K431" s="2"/>
      <c r="L431" s="13">
        <f t="shared" si="94"/>
        <v>0</v>
      </c>
      <c r="M431" s="2"/>
      <c r="N431" s="12">
        <f t="shared" si="95"/>
        <v>0</v>
      </c>
      <c r="O431" s="2"/>
      <c r="P431" s="12">
        <v>5000</v>
      </c>
      <c r="R431" s="2"/>
    </row>
    <row r="432" spans="1:18" x14ac:dyDescent="0.25">
      <c r="A432" t="s">
        <v>229</v>
      </c>
      <c r="B432" t="s">
        <v>169</v>
      </c>
      <c r="C432" t="s">
        <v>170</v>
      </c>
      <c r="D432" s="47">
        <v>10000</v>
      </c>
      <c r="E432" s="2"/>
      <c r="F432" s="37">
        <f t="shared" si="92"/>
        <v>0</v>
      </c>
      <c r="G432" s="2"/>
      <c r="H432" s="12">
        <f t="shared" si="93"/>
        <v>0</v>
      </c>
      <c r="I432" s="2"/>
      <c r="J432" s="16">
        <v>10000</v>
      </c>
      <c r="K432" s="2"/>
      <c r="L432" s="13">
        <f t="shared" si="94"/>
        <v>0</v>
      </c>
      <c r="M432" s="2"/>
      <c r="N432" s="12">
        <f t="shared" si="95"/>
        <v>0</v>
      </c>
      <c r="O432" s="2"/>
      <c r="P432" s="12">
        <v>10000</v>
      </c>
      <c r="R432" s="2"/>
    </row>
    <row r="433" spans="1:18" x14ac:dyDescent="0.25">
      <c r="A433" t="s">
        <v>229</v>
      </c>
      <c r="B433" t="s">
        <v>157</v>
      </c>
      <c r="C433" t="s">
        <v>158</v>
      </c>
      <c r="D433" s="47">
        <v>6180</v>
      </c>
      <c r="E433" s="2"/>
      <c r="F433" s="37">
        <f t="shared" si="92"/>
        <v>0</v>
      </c>
      <c r="G433" s="2"/>
      <c r="H433" s="12">
        <f t="shared" si="93"/>
        <v>0</v>
      </c>
      <c r="I433" s="2"/>
      <c r="J433" s="16">
        <v>6180</v>
      </c>
      <c r="K433" s="2"/>
      <c r="L433" s="13">
        <f t="shared" si="94"/>
        <v>0</v>
      </c>
      <c r="M433" s="2"/>
      <c r="N433" s="12">
        <f t="shared" si="95"/>
        <v>0</v>
      </c>
      <c r="O433" s="2"/>
      <c r="P433" s="12">
        <v>6180</v>
      </c>
      <c r="R433" s="2"/>
    </row>
    <row r="434" spans="1:18" x14ac:dyDescent="0.25">
      <c r="A434" t="s">
        <v>229</v>
      </c>
      <c r="B434" t="s">
        <v>159</v>
      </c>
      <c r="C434" t="s">
        <v>160</v>
      </c>
      <c r="D434" s="47">
        <v>5500</v>
      </c>
      <c r="E434" s="2"/>
      <c r="F434" s="37">
        <f t="shared" si="92"/>
        <v>0</v>
      </c>
      <c r="G434" s="2"/>
      <c r="H434" s="12">
        <f t="shared" si="93"/>
        <v>0</v>
      </c>
      <c r="I434" s="2"/>
      <c r="J434" s="16">
        <v>5500</v>
      </c>
      <c r="K434" s="2"/>
      <c r="L434" s="13">
        <f t="shared" si="94"/>
        <v>0.22222222222222221</v>
      </c>
      <c r="M434" s="2"/>
      <c r="N434" s="12">
        <f t="shared" si="95"/>
        <v>1000</v>
      </c>
      <c r="O434" s="2"/>
      <c r="P434" s="12">
        <v>4500</v>
      </c>
      <c r="R434" s="2"/>
    </row>
    <row r="435" spans="1:18" x14ac:dyDescent="0.25">
      <c r="A435" t="s">
        <v>229</v>
      </c>
      <c r="B435" t="s">
        <v>23</v>
      </c>
      <c r="C435" t="s">
        <v>24</v>
      </c>
      <c r="D435" s="47">
        <v>250</v>
      </c>
      <c r="E435" s="2"/>
      <c r="F435" s="37">
        <f t="shared" si="92"/>
        <v>0</v>
      </c>
      <c r="G435" s="2"/>
      <c r="H435" s="12">
        <f t="shared" si="93"/>
        <v>0</v>
      </c>
      <c r="I435" s="2"/>
      <c r="J435" s="16">
        <v>250</v>
      </c>
      <c r="K435" s="2"/>
      <c r="L435" s="13">
        <f t="shared" si="94"/>
        <v>0</v>
      </c>
      <c r="M435" s="2"/>
      <c r="N435" s="12">
        <f t="shared" si="95"/>
        <v>0</v>
      </c>
      <c r="O435" s="2"/>
      <c r="P435" s="12">
        <v>250</v>
      </c>
      <c r="R435" s="2"/>
    </row>
    <row r="436" spans="1:18" x14ac:dyDescent="0.25">
      <c r="A436" t="s">
        <v>229</v>
      </c>
      <c r="B436" t="s">
        <v>44</v>
      </c>
      <c r="C436" t="s">
        <v>45</v>
      </c>
      <c r="D436" s="47">
        <v>250</v>
      </c>
      <c r="E436" s="2"/>
      <c r="F436" s="37">
        <f t="shared" si="92"/>
        <v>0</v>
      </c>
      <c r="G436" s="2"/>
      <c r="H436" s="12">
        <f t="shared" si="93"/>
        <v>0</v>
      </c>
      <c r="I436" s="2"/>
      <c r="J436" s="16">
        <v>250</v>
      </c>
      <c r="K436" s="2"/>
      <c r="L436" s="13">
        <f t="shared" si="94"/>
        <v>0</v>
      </c>
      <c r="M436" s="2"/>
      <c r="N436" s="12">
        <f t="shared" si="95"/>
        <v>0</v>
      </c>
      <c r="O436" s="2"/>
      <c r="P436" s="12">
        <v>250</v>
      </c>
      <c r="R436" s="2"/>
    </row>
    <row r="437" spans="1:18" x14ac:dyDescent="0.25">
      <c r="A437" t="s">
        <v>229</v>
      </c>
      <c r="B437" t="s">
        <v>206</v>
      </c>
      <c r="C437" t="s">
        <v>207</v>
      </c>
      <c r="D437" s="47">
        <v>1000</v>
      </c>
      <c r="E437" s="2"/>
      <c r="F437" s="37">
        <f t="shared" si="92"/>
        <v>0</v>
      </c>
      <c r="G437" s="2"/>
      <c r="H437" s="12">
        <f t="shared" si="93"/>
        <v>0</v>
      </c>
      <c r="I437" s="2"/>
      <c r="J437" s="16">
        <v>1000</v>
      </c>
      <c r="K437" s="2"/>
      <c r="L437" s="13">
        <f t="shared" si="94"/>
        <v>0.42857142857142855</v>
      </c>
      <c r="M437" s="2"/>
      <c r="N437" s="12">
        <f t="shared" si="95"/>
        <v>300</v>
      </c>
      <c r="O437" s="2"/>
      <c r="P437" s="12">
        <v>700</v>
      </c>
      <c r="R437" s="2"/>
    </row>
    <row r="438" spans="1:18" x14ac:dyDescent="0.25">
      <c r="A438" t="s">
        <v>229</v>
      </c>
      <c r="B438" t="s">
        <v>121</v>
      </c>
      <c r="C438" t="s">
        <v>122</v>
      </c>
      <c r="D438" s="47">
        <v>2394</v>
      </c>
      <c r="E438" s="2"/>
      <c r="F438" s="37">
        <f t="shared" si="92"/>
        <v>0.14000000000000001</v>
      </c>
      <c r="G438" s="2"/>
      <c r="H438" s="12">
        <f t="shared" si="93"/>
        <v>294</v>
      </c>
      <c r="I438" s="2"/>
      <c r="J438" s="16">
        <v>2100</v>
      </c>
      <c r="K438" s="2"/>
      <c r="L438" s="13">
        <f t="shared" si="94"/>
        <v>0</v>
      </c>
      <c r="M438" s="2"/>
      <c r="N438" s="12">
        <f t="shared" si="95"/>
        <v>0</v>
      </c>
      <c r="O438" s="2"/>
      <c r="P438" s="12">
        <v>2100</v>
      </c>
      <c r="R438" s="2"/>
    </row>
    <row r="439" spans="1:18" x14ac:dyDescent="0.25">
      <c r="A439" t="s">
        <v>229</v>
      </c>
      <c r="B439" t="s">
        <v>123</v>
      </c>
      <c r="C439" t="s">
        <v>124</v>
      </c>
      <c r="D439" s="47">
        <v>1512</v>
      </c>
      <c r="E439" s="2"/>
      <c r="F439" s="37">
        <f t="shared" si="92"/>
        <v>0</v>
      </c>
      <c r="G439" s="2"/>
      <c r="H439" s="12">
        <f t="shared" si="93"/>
        <v>0</v>
      </c>
      <c r="I439" s="2"/>
      <c r="J439" s="16">
        <v>1512</v>
      </c>
      <c r="K439" s="2"/>
      <c r="L439" s="13">
        <f t="shared" si="94"/>
        <v>0</v>
      </c>
      <c r="M439" s="2"/>
      <c r="N439" s="12">
        <f t="shared" si="95"/>
        <v>0</v>
      </c>
      <c r="O439" s="2"/>
      <c r="P439" s="12">
        <v>1512</v>
      </c>
      <c r="R439" s="2"/>
    </row>
    <row r="440" spans="1:18" x14ac:dyDescent="0.25">
      <c r="A440" t="s">
        <v>229</v>
      </c>
      <c r="B440" t="s">
        <v>125</v>
      </c>
      <c r="C440" t="s">
        <v>126</v>
      </c>
      <c r="D440" s="47">
        <v>568</v>
      </c>
      <c r="E440" s="2"/>
      <c r="F440" s="37">
        <f t="shared" si="92"/>
        <v>4.0293040293040296E-2</v>
      </c>
      <c r="G440" s="2"/>
      <c r="H440" s="12">
        <f t="shared" si="93"/>
        <v>22</v>
      </c>
      <c r="I440" s="2"/>
      <c r="J440" s="16">
        <v>546</v>
      </c>
      <c r="K440" s="2"/>
      <c r="L440" s="13">
        <f t="shared" si="94"/>
        <v>0</v>
      </c>
      <c r="M440" s="2"/>
      <c r="N440" s="12">
        <f t="shared" si="95"/>
        <v>0</v>
      </c>
      <c r="O440" s="2"/>
      <c r="P440" s="12">
        <v>546</v>
      </c>
      <c r="R440" s="2"/>
    </row>
    <row r="441" spans="1:18" x14ac:dyDescent="0.25">
      <c r="A441" t="s">
        <v>229</v>
      </c>
      <c r="B441" t="s">
        <v>69</v>
      </c>
      <c r="C441" t="s">
        <v>70</v>
      </c>
      <c r="D441" s="47">
        <v>5000</v>
      </c>
      <c r="E441" s="2"/>
      <c r="F441" s="37">
        <f t="shared" si="92"/>
        <v>0</v>
      </c>
      <c r="G441" s="2"/>
      <c r="H441" s="12">
        <f t="shared" si="93"/>
        <v>0</v>
      </c>
      <c r="I441" s="2"/>
      <c r="J441" s="16">
        <v>5000</v>
      </c>
      <c r="K441" s="2"/>
      <c r="L441" s="13">
        <f t="shared" si="94"/>
        <v>0</v>
      </c>
      <c r="M441" s="2"/>
      <c r="N441" s="12">
        <f t="shared" si="95"/>
        <v>0</v>
      </c>
      <c r="O441" s="2"/>
      <c r="P441" s="12">
        <v>5000</v>
      </c>
      <c r="R441" s="2"/>
    </row>
    <row r="442" spans="1:18" x14ac:dyDescent="0.25">
      <c r="A442" t="s">
        <v>229</v>
      </c>
      <c r="B442" t="s">
        <v>233</v>
      </c>
      <c r="C442" t="s">
        <v>234</v>
      </c>
      <c r="D442" s="47">
        <v>300000</v>
      </c>
      <c r="E442" s="2"/>
      <c r="F442" s="37">
        <f t="shared" si="92"/>
        <v>0</v>
      </c>
      <c r="G442" s="2"/>
      <c r="H442" s="12">
        <f t="shared" si="93"/>
        <v>0</v>
      </c>
      <c r="I442" s="2"/>
      <c r="J442" s="16">
        <v>300000</v>
      </c>
      <c r="K442" s="2"/>
      <c r="L442" s="13">
        <f t="shared" si="94"/>
        <v>0</v>
      </c>
      <c r="M442" s="2"/>
      <c r="N442" s="12">
        <f t="shared" si="95"/>
        <v>0</v>
      </c>
      <c r="O442" s="2"/>
      <c r="P442" s="12">
        <v>300000</v>
      </c>
      <c r="R442" s="2"/>
    </row>
    <row r="443" spans="1:18" x14ac:dyDescent="0.25">
      <c r="A443" t="s">
        <v>229</v>
      </c>
      <c r="B443" t="s">
        <v>165</v>
      </c>
      <c r="C443" t="s">
        <v>166</v>
      </c>
      <c r="D443" s="47">
        <v>0</v>
      </c>
      <c r="E443" s="2"/>
      <c r="F443" s="37">
        <f t="shared" si="92"/>
        <v>-1</v>
      </c>
      <c r="G443" s="2"/>
      <c r="H443" s="12">
        <f t="shared" si="93"/>
        <v>-110000</v>
      </c>
      <c r="I443" s="2"/>
      <c r="J443" s="16">
        <v>110000</v>
      </c>
      <c r="K443" s="2"/>
      <c r="L443" s="13">
        <f>N443/P443</f>
        <v>43</v>
      </c>
      <c r="M443" s="2"/>
      <c r="N443" s="12">
        <f t="shared" si="95"/>
        <v>107500</v>
      </c>
      <c r="O443" s="2"/>
      <c r="P443" s="12">
        <v>2500</v>
      </c>
      <c r="Q443" t="s">
        <v>408</v>
      </c>
      <c r="R443" s="2"/>
    </row>
    <row r="444" spans="1:18" x14ac:dyDescent="0.25">
      <c r="D444" s="2"/>
      <c r="E444" s="2"/>
      <c r="F444" s="2"/>
      <c r="G444" s="2"/>
      <c r="H444" s="2"/>
      <c r="I444" s="2"/>
      <c r="J444" s="2"/>
      <c r="K444" s="2"/>
      <c r="M444" s="2"/>
      <c r="O444" s="2"/>
      <c r="R444" s="2"/>
    </row>
    <row r="445" spans="1:18" x14ac:dyDescent="0.25">
      <c r="A445" t="s">
        <v>5</v>
      </c>
      <c r="B445" t="s">
        <v>5</v>
      </c>
      <c r="C445" s="1" t="s">
        <v>382</v>
      </c>
      <c r="D445" s="8">
        <f>SUM(D414:D443)</f>
        <v>692985</v>
      </c>
      <c r="E445" s="2"/>
      <c r="F445" s="15">
        <f>H445/J445</f>
        <v>-3.9126293151858768E-2</v>
      </c>
      <c r="G445" s="2"/>
      <c r="H445" s="8">
        <f>SUM(H414:H443)</f>
        <v>-28218</v>
      </c>
      <c r="I445" s="2"/>
      <c r="J445" s="8">
        <f>SUM(J414:J443)</f>
        <v>721203</v>
      </c>
      <c r="K445" s="2"/>
      <c r="L445" s="15">
        <f>N445/P445</f>
        <v>8.1476271951462731E-2</v>
      </c>
      <c r="M445" s="2"/>
      <c r="N445" s="8">
        <f>SUM(N414:N443)</f>
        <v>54334</v>
      </c>
      <c r="O445" s="2"/>
      <c r="P445" s="8">
        <f>SUM(P414:P443)</f>
        <v>666869</v>
      </c>
      <c r="R445" s="2"/>
    </row>
    <row r="446" spans="1:18" x14ac:dyDescent="0.25">
      <c r="D446" s="2"/>
      <c r="E446" s="2"/>
      <c r="F446" s="2"/>
      <c r="G446" s="2"/>
      <c r="H446" s="2"/>
      <c r="I446" s="2"/>
      <c r="J446" s="2"/>
      <c r="K446" s="2"/>
      <c r="M446" s="2"/>
      <c r="O446" s="2"/>
      <c r="R446" s="2"/>
    </row>
    <row r="447" spans="1:18" x14ac:dyDescent="0.25">
      <c r="A447" t="s">
        <v>235</v>
      </c>
      <c r="B447" t="s">
        <v>119</v>
      </c>
      <c r="C447" t="s">
        <v>120</v>
      </c>
      <c r="D447" s="12">
        <v>78000</v>
      </c>
      <c r="E447" s="2"/>
      <c r="F447" s="37">
        <f t="shared" ref="F447:F449" si="96">H447/J447</f>
        <v>0</v>
      </c>
      <c r="G447" s="2"/>
      <c r="H447" s="12">
        <f t="shared" ref="H447:H449" si="97">D447-J447</f>
        <v>0</v>
      </c>
      <c r="I447" s="2"/>
      <c r="J447" s="12">
        <v>78000</v>
      </c>
      <c r="K447" s="2"/>
      <c r="L447" s="13">
        <f>N447/P447</f>
        <v>0</v>
      </c>
      <c r="M447" s="2"/>
      <c r="N447" s="12">
        <f t="shared" ref="N447:N449" si="98">J447-P447</f>
        <v>0</v>
      </c>
      <c r="O447" s="2"/>
      <c r="P447" s="12">
        <v>78000</v>
      </c>
      <c r="R447" s="2"/>
    </row>
    <row r="448" spans="1:18" x14ac:dyDescent="0.25">
      <c r="A448" t="s">
        <v>235</v>
      </c>
      <c r="B448" t="s">
        <v>236</v>
      </c>
      <c r="C448" t="s">
        <v>237</v>
      </c>
      <c r="D448" s="12">
        <v>549500</v>
      </c>
      <c r="E448" s="2"/>
      <c r="F448" s="37">
        <f t="shared" si="96"/>
        <v>0</v>
      </c>
      <c r="G448" s="2"/>
      <c r="H448" s="12">
        <f t="shared" si="97"/>
        <v>0</v>
      </c>
      <c r="I448" s="2"/>
      <c r="J448" s="12">
        <v>549500</v>
      </c>
      <c r="K448" s="2"/>
      <c r="L448" s="13">
        <f t="shared" ref="L448:L449" si="99">N448/P448</f>
        <v>0.14479166666666668</v>
      </c>
      <c r="M448" s="2"/>
      <c r="N448" s="12">
        <f t="shared" si="98"/>
        <v>69500</v>
      </c>
      <c r="O448" s="2"/>
      <c r="P448" s="12">
        <v>480000</v>
      </c>
      <c r="R448" s="2"/>
    </row>
    <row r="449" spans="1:18" x14ac:dyDescent="0.25">
      <c r="A449" t="s">
        <v>235</v>
      </c>
      <c r="B449" t="s">
        <v>69</v>
      </c>
      <c r="C449" t="s">
        <v>70</v>
      </c>
      <c r="D449" s="12">
        <v>17000</v>
      </c>
      <c r="E449" s="2"/>
      <c r="F449" s="37">
        <f t="shared" si="96"/>
        <v>0</v>
      </c>
      <c r="G449" s="2"/>
      <c r="H449" s="12">
        <f t="shared" si="97"/>
        <v>0</v>
      </c>
      <c r="I449" s="2"/>
      <c r="J449" s="12">
        <v>17000</v>
      </c>
      <c r="K449" s="2"/>
      <c r="L449" s="13">
        <f t="shared" si="99"/>
        <v>0</v>
      </c>
      <c r="M449" s="2"/>
      <c r="N449" s="12">
        <f t="shared" si="98"/>
        <v>0</v>
      </c>
      <c r="O449" s="2"/>
      <c r="P449" s="12">
        <v>17000</v>
      </c>
      <c r="R449" s="2"/>
    </row>
    <row r="450" spans="1:18" ht="120" x14ac:dyDescent="0.25">
      <c r="A450" s="1" t="s">
        <v>0</v>
      </c>
      <c r="B450" s="1" t="s">
        <v>1</v>
      </c>
      <c r="C450" s="1" t="s">
        <v>2</v>
      </c>
      <c r="D450" s="5" t="s">
        <v>337</v>
      </c>
      <c r="E450" s="1"/>
      <c r="F450" s="5" t="s">
        <v>409</v>
      </c>
      <c r="G450" s="1"/>
      <c r="H450" s="5" t="s">
        <v>410</v>
      </c>
      <c r="I450" s="1"/>
      <c r="J450" s="5" t="s">
        <v>336</v>
      </c>
      <c r="K450" s="1"/>
      <c r="L450" s="4" t="s">
        <v>344</v>
      </c>
      <c r="M450" s="1"/>
      <c r="N450" s="4" t="s">
        <v>342</v>
      </c>
      <c r="O450" s="1"/>
      <c r="P450" s="4" t="s">
        <v>335</v>
      </c>
      <c r="R450" s="1"/>
    </row>
    <row r="451" spans="1:18" x14ac:dyDescent="0.25">
      <c r="D451" s="2"/>
      <c r="E451" s="2"/>
      <c r="F451" s="2"/>
      <c r="G451" s="2"/>
      <c r="H451" s="2"/>
      <c r="I451" s="2"/>
      <c r="J451" s="2"/>
      <c r="K451" s="2"/>
      <c r="M451" s="2"/>
      <c r="O451" s="2"/>
      <c r="R451" s="2"/>
    </row>
    <row r="452" spans="1:18" x14ac:dyDescent="0.25">
      <c r="A452" t="s">
        <v>5</v>
      </c>
      <c r="B452" t="s">
        <v>5</v>
      </c>
      <c r="C452" s="1" t="s">
        <v>381</v>
      </c>
      <c r="D452" s="8">
        <f>SUM(D447:D449)</f>
        <v>644500</v>
      </c>
      <c r="E452" s="2"/>
      <c r="F452" s="15">
        <f>H452/J452</f>
        <v>0</v>
      </c>
      <c r="G452" s="2"/>
      <c r="H452" s="8">
        <f>SUM(H447:H449)</f>
        <v>0</v>
      </c>
      <c r="I452" s="2"/>
      <c r="J452" s="8">
        <f>SUM(J447:J449)</f>
        <v>644500</v>
      </c>
      <c r="K452" s="2"/>
      <c r="L452" s="15">
        <f>N452/P452</f>
        <v>0.1208695652173913</v>
      </c>
      <c r="M452" s="2"/>
      <c r="N452" s="8">
        <f>SUM(N447:N449)</f>
        <v>69500</v>
      </c>
      <c r="O452" s="2"/>
      <c r="P452" s="8">
        <f>SUM(P447:P449)</f>
        <v>575000</v>
      </c>
      <c r="R452" s="2"/>
    </row>
    <row r="453" spans="1:18" x14ac:dyDescent="0.25">
      <c r="D453" s="2"/>
      <c r="E453" s="2"/>
      <c r="F453" s="2"/>
      <c r="G453" s="2"/>
      <c r="H453" s="2"/>
      <c r="I453" s="2"/>
      <c r="J453" s="2"/>
      <c r="K453" s="2"/>
      <c r="M453" s="2"/>
      <c r="O453" s="2"/>
      <c r="R453" s="2"/>
    </row>
    <row r="454" spans="1:18" x14ac:dyDescent="0.25">
      <c r="A454" t="s">
        <v>238</v>
      </c>
      <c r="B454" t="s">
        <v>57</v>
      </c>
      <c r="C454" t="s">
        <v>58</v>
      </c>
      <c r="D454" s="12">
        <f>ROUNDUP((65852.8),0)</f>
        <v>65853</v>
      </c>
      <c r="E454" s="2"/>
      <c r="F454" s="37">
        <f t="shared" ref="F454:F472" si="100">H454/J454</f>
        <v>-0.17747495690839599</v>
      </c>
      <c r="G454" s="2"/>
      <c r="H454" s="12">
        <f t="shared" ref="H454:H472" si="101">D454-J454</f>
        <v>-14209</v>
      </c>
      <c r="I454" s="2"/>
      <c r="J454" s="12">
        <f>ROUNDUP((80061.49),0)</f>
        <v>80062</v>
      </c>
      <c r="K454" s="2"/>
      <c r="L454" s="13">
        <f t="shared" ref="L454:L472" si="102">N454/P454</f>
        <v>3.0001286504567092E-2</v>
      </c>
      <c r="M454" s="2"/>
      <c r="N454" s="12">
        <f t="shared" ref="N454:N472" si="103">J454-P454</f>
        <v>2332</v>
      </c>
      <c r="O454" s="2"/>
      <c r="P454" s="12">
        <v>77730</v>
      </c>
      <c r="Q454" t="s">
        <v>355</v>
      </c>
      <c r="R454" s="2"/>
    </row>
    <row r="455" spans="1:18" x14ac:dyDescent="0.25">
      <c r="A455" t="s">
        <v>238</v>
      </c>
      <c r="B455" t="s">
        <v>30</v>
      </c>
      <c r="C455" t="s">
        <v>31</v>
      </c>
      <c r="D455" s="12">
        <f>ROUNDUP((183461.04),0)</f>
        <v>183462</v>
      </c>
      <c r="E455" s="2"/>
      <c r="F455" s="37">
        <f t="shared" si="100"/>
        <v>4.7541154340539342E-2</v>
      </c>
      <c r="G455" s="2"/>
      <c r="H455" s="12">
        <f t="shared" si="101"/>
        <v>8326.1600000000035</v>
      </c>
      <c r="I455" s="2"/>
      <c r="J455" s="12">
        <v>175135.84</v>
      </c>
      <c r="K455" s="2"/>
      <c r="L455" s="13">
        <f t="shared" si="102"/>
        <v>3.742397137745973E-2</v>
      </c>
      <c r="M455" s="2"/>
      <c r="N455" s="12">
        <f t="shared" si="103"/>
        <v>6317.8399999999965</v>
      </c>
      <c r="O455" s="2"/>
      <c r="P455" s="12">
        <v>168818</v>
      </c>
      <c r="Q455" t="s">
        <v>355</v>
      </c>
      <c r="R455" s="2"/>
    </row>
    <row r="456" spans="1:18" x14ac:dyDescent="0.25">
      <c r="A456" t="s">
        <v>238</v>
      </c>
      <c r="B456" t="s">
        <v>34</v>
      </c>
      <c r="C456" t="s">
        <v>35</v>
      </c>
      <c r="D456" s="12">
        <f>ROUNDUP((314.34),0)</f>
        <v>315</v>
      </c>
      <c r="E456" s="2"/>
      <c r="F456" s="37">
        <f t="shared" si="100"/>
        <v>0</v>
      </c>
      <c r="G456" s="2"/>
      <c r="H456" s="12">
        <f t="shared" si="101"/>
        <v>0</v>
      </c>
      <c r="I456" s="2"/>
      <c r="J456" s="12">
        <f>ROUNDUP((314.34),0)</f>
        <v>315</v>
      </c>
      <c r="K456" s="2"/>
      <c r="L456" s="13">
        <f t="shared" si="102"/>
        <v>-0.15549597855227881</v>
      </c>
      <c r="M456" s="2"/>
      <c r="N456" s="12">
        <f t="shared" si="103"/>
        <v>-58</v>
      </c>
      <c r="O456" s="2"/>
      <c r="P456" s="12">
        <v>373</v>
      </c>
      <c r="R456" s="2"/>
    </row>
    <row r="457" spans="1:18" x14ac:dyDescent="0.25">
      <c r="A457" t="s">
        <v>238</v>
      </c>
      <c r="B457" t="s">
        <v>9</v>
      </c>
      <c r="C457" t="s">
        <v>10</v>
      </c>
      <c r="D457" s="12">
        <f>ROUNDUP((1338.36),0)</f>
        <v>1339</v>
      </c>
      <c r="E457" s="2"/>
      <c r="F457" s="37">
        <f t="shared" si="100"/>
        <v>-1.9765739385065886E-2</v>
      </c>
      <c r="G457" s="2"/>
      <c r="H457" s="12">
        <f t="shared" si="101"/>
        <v>-27</v>
      </c>
      <c r="I457" s="2"/>
      <c r="J457" s="12">
        <f>ROUNDUP((1365.89),0)</f>
        <v>1366</v>
      </c>
      <c r="K457" s="2"/>
      <c r="L457" s="13">
        <f t="shared" si="102"/>
        <v>1.085496183206107</v>
      </c>
      <c r="M457" s="2"/>
      <c r="N457" s="12">
        <f t="shared" si="103"/>
        <v>711</v>
      </c>
      <c r="O457" s="2"/>
      <c r="P457" s="12">
        <v>655</v>
      </c>
      <c r="R457" s="2"/>
    </row>
    <row r="458" spans="1:18" x14ac:dyDescent="0.25">
      <c r="A458" t="s">
        <v>238</v>
      </c>
      <c r="B458" t="s">
        <v>36</v>
      </c>
      <c r="C458" t="s">
        <v>37</v>
      </c>
      <c r="D458" s="12">
        <f>ROUNDUP((25430.01),0)</f>
        <v>25431</v>
      </c>
      <c r="E458" s="2"/>
      <c r="F458" s="37">
        <f t="shared" si="100"/>
        <v>-2.3049441051054512E-2</v>
      </c>
      <c r="G458" s="2"/>
      <c r="H458" s="12">
        <f t="shared" si="101"/>
        <v>-600</v>
      </c>
      <c r="I458" s="2"/>
      <c r="J458" s="12">
        <f>ROUNDUP((26030.13),0)</f>
        <v>26031</v>
      </c>
      <c r="K458" s="2"/>
      <c r="L458" s="13">
        <f t="shared" si="102"/>
        <v>3.5112136153968507E-2</v>
      </c>
      <c r="M458" s="2"/>
      <c r="N458" s="12">
        <f t="shared" si="103"/>
        <v>883</v>
      </c>
      <c r="O458" s="2"/>
      <c r="P458" s="12">
        <v>25148</v>
      </c>
      <c r="R458" s="2"/>
    </row>
    <row r="459" spans="1:18" x14ac:dyDescent="0.25">
      <c r="A459" t="s">
        <v>238</v>
      </c>
      <c r="B459" t="s">
        <v>38</v>
      </c>
      <c r="C459" t="s">
        <v>39</v>
      </c>
      <c r="D459" s="12">
        <f>ROUNDUP((80778.15),0)</f>
        <v>80779</v>
      </c>
      <c r="E459" s="2"/>
      <c r="F459" s="37">
        <f t="shared" si="100"/>
        <v>1.1292362006585125E-2</v>
      </c>
      <c r="G459" s="2"/>
      <c r="H459" s="12">
        <f t="shared" si="101"/>
        <v>902</v>
      </c>
      <c r="I459" s="2"/>
      <c r="J459" s="12">
        <f>ROUNDUP((79876.27),0)</f>
        <v>79877</v>
      </c>
      <c r="K459" s="2"/>
      <c r="L459" s="13">
        <f t="shared" si="102"/>
        <v>-7.9355017173416934E-2</v>
      </c>
      <c r="M459" s="2"/>
      <c r="N459" s="12">
        <f t="shared" si="103"/>
        <v>-6885</v>
      </c>
      <c r="O459" s="2"/>
      <c r="P459" s="12">
        <v>86762</v>
      </c>
      <c r="R459" s="2"/>
    </row>
    <row r="460" spans="1:18" x14ac:dyDescent="0.25">
      <c r="A460" t="s">
        <v>238</v>
      </c>
      <c r="B460" t="s">
        <v>11</v>
      </c>
      <c r="C460" t="s">
        <v>12</v>
      </c>
      <c r="D460" s="12">
        <f>ROUNDUP((19072.51),0)</f>
        <v>19073</v>
      </c>
      <c r="E460" s="2"/>
      <c r="F460" s="37">
        <f t="shared" si="100"/>
        <v>-2.3049736208574503E-2</v>
      </c>
      <c r="G460" s="2"/>
      <c r="H460" s="12">
        <f t="shared" si="101"/>
        <v>-450</v>
      </c>
      <c r="I460" s="2"/>
      <c r="J460" s="12">
        <f>ROUNDUP((19522.6),0)</f>
        <v>19523</v>
      </c>
      <c r="K460" s="2"/>
      <c r="L460" s="13">
        <f t="shared" si="102"/>
        <v>3.5098881289433219E-2</v>
      </c>
      <c r="M460" s="2"/>
      <c r="N460" s="12">
        <f t="shared" si="103"/>
        <v>662</v>
      </c>
      <c r="O460" s="2"/>
      <c r="P460" s="12">
        <v>18861</v>
      </c>
      <c r="R460" s="2"/>
    </row>
    <row r="461" spans="1:18" x14ac:dyDescent="0.25">
      <c r="A461" t="s">
        <v>238</v>
      </c>
      <c r="B461" t="s">
        <v>13</v>
      </c>
      <c r="C461" t="s">
        <v>14</v>
      </c>
      <c r="D461" s="12">
        <f>3100-500</f>
        <v>2600</v>
      </c>
      <c r="E461" s="2"/>
      <c r="F461" s="37">
        <f t="shared" si="100"/>
        <v>-0.16129032258064516</v>
      </c>
      <c r="G461" s="2"/>
      <c r="H461" s="12">
        <f t="shared" si="101"/>
        <v>-500</v>
      </c>
      <c r="I461" s="2"/>
      <c r="J461" s="12">
        <v>3100</v>
      </c>
      <c r="K461" s="2"/>
      <c r="L461" s="13">
        <f t="shared" si="102"/>
        <v>0</v>
      </c>
      <c r="M461" s="2"/>
      <c r="N461" s="12">
        <f t="shared" si="103"/>
        <v>0</v>
      </c>
      <c r="O461" s="2"/>
      <c r="P461" s="12">
        <v>3100</v>
      </c>
      <c r="R461" s="2"/>
    </row>
    <row r="462" spans="1:18" x14ac:dyDescent="0.25">
      <c r="A462" t="s">
        <v>238</v>
      </c>
      <c r="B462" t="s">
        <v>15</v>
      </c>
      <c r="C462" t="s">
        <v>16</v>
      </c>
      <c r="D462" s="12">
        <f>35000-1500</f>
        <v>33500</v>
      </c>
      <c r="E462" s="2"/>
      <c r="F462" s="37">
        <f t="shared" si="100"/>
        <v>-4.2857142857142858E-2</v>
      </c>
      <c r="G462" s="2"/>
      <c r="H462" s="12">
        <f t="shared" si="101"/>
        <v>-1500</v>
      </c>
      <c r="I462" s="2"/>
      <c r="J462" s="12">
        <v>35000</v>
      </c>
      <c r="K462" s="2"/>
      <c r="L462" s="13">
        <f t="shared" si="102"/>
        <v>0.1111111111111111</v>
      </c>
      <c r="M462" s="2"/>
      <c r="N462" s="12">
        <f t="shared" si="103"/>
        <v>3500</v>
      </c>
      <c r="O462" s="2"/>
      <c r="P462" s="12">
        <v>31500</v>
      </c>
      <c r="R462" s="2"/>
    </row>
    <row r="463" spans="1:18" x14ac:dyDescent="0.25">
      <c r="A463" t="s">
        <v>238</v>
      </c>
      <c r="B463" t="s">
        <v>19</v>
      </c>
      <c r="C463" t="s">
        <v>20</v>
      </c>
      <c r="D463" s="12">
        <v>4420</v>
      </c>
      <c r="E463" s="2"/>
      <c r="F463" s="37">
        <f t="shared" si="100"/>
        <v>0</v>
      </c>
      <c r="G463" s="2"/>
      <c r="H463" s="12">
        <f t="shared" si="101"/>
        <v>0</v>
      </c>
      <c r="I463" s="2"/>
      <c r="J463" s="12">
        <v>4420</v>
      </c>
      <c r="K463" s="2"/>
      <c r="L463" s="13">
        <f t="shared" si="102"/>
        <v>0.10087173100871731</v>
      </c>
      <c r="M463" s="2"/>
      <c r="N463" s="12">
        <f t="shared" si="103"/>
        <v>405</v>
      </c>
      <c r="O463" s="2"/>
      <c r="P463" s="12">
        <v>4015</v>
      </c>
      <c r="R463" s="2"/>
    </row>
    <row r="464" spans="1:18" x14ac:dyDescent="0.25">
      <c r="A464" t="s">
        <v>238</v>
      </c>
      <c r="B464" t="s">
        <v>63</v>
      </c>
      <c r="C464" t="s">
        <v>64</v>
      </c>
      <c r="D464" s="12">
        <v>250</v>
      </c>
      <c r="E464" s="2"/>
      <c r="F464" s="37">
        <f t="shared" si="100"/>
        <v>0</v>
      </c>
      <c r="G464" s="2"/>
      <c r="H464" s="12">
        <f t="shared" si="101"/>
        <v>0</v>
      </c>
      <c r="I464" s="2"/>
      <c r="J464" s="12">
        <v>250</v>
      </c>
      <c r="K464" s="2"/>
      <c r="L464" s="13">
        <f t="shared" si="102"/>
        <v>0</v>
      </c>
      <c r="M464" s="2"/>
      <c r="N464" s="12">
        <f t="shared" si="103"/>
        <v>0</v>
      </c>
      <c r="O464" s="2"/>
      <c r="P464" s="12">
        <v>250</v>
      </c>
      <c r="R464" s="2"/>
    </row>
    <row r="465" spans="1:18" x14ac:dyDescent="0.25">
      <c r="A465" t="s">
        <v>238</v>
      </c>
      <c r="B465" t="s">
        <v>40</v>
      </c>
      <c r="C465" t="s">
        <v>41</v>
      </c>
      <c r="D465" s="12">
        <v>420</v>
      </c>
      <c r="E465" s="2"/>
      <c r="F465" s="37">
        <f t="shared" si="100"/>
        <v>0</v>
      </c>
      <c r="G465" s="2"/>
      <c r="H465" s="12">
        <f t="shared" si="101"/>
        <v>0</v>
      </c>
      <c r="I465" s="2"/>
      <c r="J465" s="12">
        <v>420</v>
      </c>
      <c r="K465" s="2"/>
      <c r="L465" s="13">
        <f t="shared" si="102"/>
        <v>0</v>
      </c>
      <c r="M465" s="2"/>
      <c r="N465" s="12">
        <f t="shared" si="103"/>
        <v>0</v>
      </c>
      <c r="O465" s="2"/>
      <c r="P465" s="12">
        <v>420</v>
      </c>
      <c r="R465" s="2"/>
    </row>
    <row r="466" spans="1:18" x14ac:dyDescent="0.25">
      <c r="A466" t="s">
        <v>238</v>
      </c>
      <c r="B466" t="s">
        <v>23</v>
      </c>
      <c r="C466" t="s">
        <v>24</v>
      </c>
      <c r="D466" s="12">
        <v>400</v>
      </c>
      <c r="E466" s="2"/>
      <c r="F466" s="37">
        <f t="shared" si="100"/>
        <v>0</v>
      </c>
      <c r="G466" s="2"/>
      <c r="H466" s="12">
        <f t="shared" si="101"/>
        <v>0</v>
      </c>
      <c r="I466" s="2"/>
      <c r="J466" s="12">
        <v>400</v>
      </c>
      <c r="K466" s="2"/>
      <c r="L466" s="13">
        <f t="shared" si="102"/>
        <v>1.2857142857142858</v>
      </c>
      <c r="M466" s="2"/>
      <c r="N466" s="12">
        <f t="shared" si="103"/>
        <v>225</v>
      </c>
      <c r="O466" s="2"/>
      <c r="P466" s="12">
        <v>175</v>
      </c>
      <c r="R466" s="2"/>
    </row>
    <row r="467" spans="1:18" x14ac:dyDescent="0.25">
      <c r="A467" t="s">
        <v>238</v>
      </c>
      <c r="B467" t="s">
        <v>42</v>
      </c>
      <c r="C467" t="s">
        <v>43</v>
      </c>
      <c r="D467" s="12">
        <v>170</v>
      </c>
      <c r="E467" s="2"/>
      <c r="F467" s="37">
        <f t="shared" si="100"/>
        <v>0</v>
      </c>
      <c r="G467" s="2"/>
      <c r="H467" s="12">
        <f t="shared" si="101"/>
        <v>0</v>
      </c>
      <c r="I467" s="2"/>
      <c r="J467" s="12">
        <v>170</v>
      </c>
      <c r="K467" s="2"/>
      <c r="L467" s="13">
        <f t="shared" si="102"/>
        <v>0.7</v>
      </c>
      <c r="M467" s="2"/>
      <c r="N467" s="12">
        <f t="shared" si="103"/>
        <v>70</v>
      </c>
      <c r="O467" s="2"/>
      <c r="P467" s="12">
        <v>100</v>
      </c>
      <c r="R467" s="2"/>
    </row>
    <row r="468" spans="1:18" x14ac:dyDescent="0.25">
      <c r="A468" t="s">
        <v>238</v>
      </c>
      <c r="B468" t="s">
        <v>44</v>
      </c>
      <c r="C468" t="s">
        <v>45</v>
      </c>
      <c r="D468" s="12">
        <v>150</v>
      </c>
      <c r="E468" s="2"/>
      <c r="F468" s="37">
        <f t="shared" si="100"/>
        <v>0</v>
      </c>
      <c r="G468" s="2"/>
      <c r="H468" s="12">
        <f t="shared" si="101"/>
        <v>0</v>
      </c>
      <c r="I468" s="2"/>
      <c r="J468" s="12">
        <v>150</v>
      </c>
      <c r="K468" s="2"/>
      <c r="L468" s="13">
        <f t="shared" si="102"/>
        <v>1</v>
      </c>
      <c r="M468" s="2"/>
      <c r="N468" s="12">
        <f t="shared" si="103"/>
        <v>75</v>
      </c>
      <c r="O468" s="2"/>
      <c r="P468" s="12">
        <v>75</v>
      </c>
      <c r="R468" s="2"/>
    </row>
    <row r="469" spans="1:18" x14ac:dyDescent="0.25">
      <c r="A469" t="s">
        <v>238</v>
      </c>
      <c r="B469" t="s">
        <v>121</v>
      </c>
      <c r="C469" t="s">
        <v>122</v>
      </c>
      <c r="D469" s="12">
        <v>313</v>
      </c>
      <c r="E469" s="2"/>
      <c r="F469" s="37">
        <f t="shared" si="100"/>
        <v>0.14233576642335766</v>
      </c>
      <c r="G469" s="2"/>
      <c r="H469" s="12">
        <f t="shared" si="101"/>
        <v>39</v>
      </c>
      <c r="I469" s="2"/>
      <c r="J469" s="12">
        <v>274</v>
      </c>
      <c r="K469" s="2"/>
      <c r="L469" s="13">
        <f t="shared" si="102"/>
        <v>0.14166666666666666</v>
      </c>
      <c r="M469" s="2"/>
      <c r="N469" s="12">
        <f t="shared" si="103"/>
        <v>34</v>
      </c>
      <c r="O469" s="2"/>
      <c r="P469" s="12">
        <v>240</v>
      </c>
      <c r="R469" s="2"/>
    </row>
    <row r="470" spans="1:18" x14ac:dyDescent="0.25">
      <c r="A470" t="s">
        <v>238</v>
      </c>
      <c r="B470" t="s">
        <v>123</v>
      </c>
      <c r="C470" t="s">
        <v>124</v>
      </c>
      <c r="D470" s="12">
        <v>2420</v>
      </c>
      <c r="E470" s="2"/>
      <c r="F470" s="37">
        <f t="shared" si="100"/>
        <v>0</v>
      </c>
      <c r="G470" s="2"/>
      <c r="H470" s="12">
        <f t="shared" si="101"/>
        <v>0</v>
      </c>
      <c r="I470" s="2"/>
      <c r="J470" s="12">
        <v>2420</v>
      </c>
      <c r="K470" s="2"/>
      <c r="L470" s="13">
        <f t="shared" si="102"/>
        <v>4.1339396444811904E-4</v>
      </c>
      <c r="M470" s="2"/>
      <c r="N470" s="12">
        <f t="shared" si="103"/>
        <v>1</v>
      </c>
      <c r="O470" s="2"/>
      <c r="P470" s="12">
        <v>2419</v>
      </c>
      <c r="R470" s="2"/>
    </row>
    <row r="471" spans="1:18" x14ac:dyDescent="0.25">
      <c r="A471" t="s">
        <v>238</v>
      </c>
      <c r="B471" t="s">
        <v>125</v>
      </c>
      <c r="C471" t="s">
        <v>126</v>
      </c>
      <c r="D471" s="12">
        <v>189</v>
      </c>
      <c r="E471" s="2"/>
      <c r="F471" s="37">
        <f t="shared" si="100"/>
        <v>4.4198895027624308E-2</v>
      </c>
      <c r="G471" s="2"/>
      <c r="H471" s="12">
        <f t="shared" si="101"/>
        <v>8</v>
      </c>
      <c r="I471" s="2"/>
      <c r="J471" s="12">
        <v>181</v>
      </c>
      <c r="K471" s="2"/>
      <c r="L471" s="13">
        <f t="shared" si="102"/>
        <v>0</v>
      </c>
      <c r="M471" s="2"/>
      <c r="N471" s="12">
        <f t="shared" si="103"/>
        <v>0</v>
      </c>
      <c r="O471" s="2"/>
      <c r="P471" s="12">
        <v>181</v>
      </c>
      <c r="R471" s="2"/>
    </row>
    <row r="472" spans="1:18" x14ac:dyDescent="0.25">
      <c r="A472" t="s">
        <v>238</v>
      </c>
      <c r="B472" t="s">
        <v>69</v>
      </c>
      <c r="C472" t="s">
        <v>70</v>
      </c>
      <c r="D472" s="12">
        <v>1500</v>
      </c>
      <c r="E472" s="2"/>
      <c r="F472" s="37">
        <f t="shared" si="100"/>
        <v>0</v>
      </c>
      <c r="G472" s="2"/>
      <c r="H472" s="12">
        <f t="shared" si="101"/>
        <v>0</v>
      </c>
      <c r="I472" s="2"/>
      <c r="J472" s="12">
        <v>1500</v>
      </c>
      <c r="K472" s="2"/>
      <c r="L472" s="13">
        <f t="shared" si="102"/>
        <v>-0.86784140969162993</v>
      </c>
      <c r="M472" s="2"/>
      <c r="N472" s="12">
        <f t="shared" si="103"/>
        <v>-9850</v>
      </c>
      <c r="O472" s="2"/>
      <c r="P472" s="12">
        <v>11350</v>
      </c>
      <c r="R472" s="2"/>
    </row>
    <row r="473" spans="1:18" x14ac:dyDescent="0.25">
      <c r="D473" s="2"/>
      <c r="E473" s="2"/>
      <c r="F473" s="2"/>
      <c r="G473" s="2"/>
      <c r="H473" s="2"/>
      <c r="I473" s="2"/>
      <c r="J473" s="2"/>
      <c r="K473" s="2"/>
      <c r="M473" s="2"/>
      <c r="O473" s="2"/>
      <c r="R473" s="2"/>
    </row>
    <row r="474" spans="1:18" x14ac:dyDescent="0.25">
      <c r="A474" t="s">
        <v>5</v>
      </c>
      <c r="B474" t="s">
        <v>5</v>
      </c>
      <c r="C474" s="1" t="s">
        <v>380</v>
      </c>
      <c r="D474" s="8">
        <f>SUM(D454:D472)</f>
        <v>422584</v>
      </c>
      <c r="E474" s="2"/>
      <c r="F474" s="15">
        <f>H474/J474</f>
        <v>-1.8604124471161793E-2</v>
      </c>
      <c r="G474" s="2"/>
      <c r="H474" s="8">
        <f>SUM(H454:H472)</f>
        <v>-8010.8399999999965</v>
      </c>
      <c r="I474" s="2"/>
      <c r="J474" s="8">
        <f>SUM(J454:J472)</f>
        <v>430594.83999999997</v>
      </c>
      <c r="K474" s="2"/>
      <c r="L474" s="15">
        <f>N474/P474</f>
        <v>-3.6493803393093573E-3</v>
      </c>
      <c r="M474" s="2"/>
      <c r="N474" s="8">
        <f>SUM(N454:N472)</f>
        <v>-1577.1600000000035</v>
      </c>
      <c r="O474" s="2"/>
      <c r="P474" s="8">
        <f>SUM(P454:P472)</f>
        <v>432172</v>
      </c>
      <c r="R474" s="2"/>
    </row>
    <row r="475" spans="1:18" x14ac:dyDescent="0.25">
      <c r="D475" s="2"/>
      <c r="E475" s="2"/>
      <c r="F475" s="2"/>
      <c r="G475" s="2"/>
      <c r="H475" s="2"/>
      <c r="I475" s="2"/>
      <c r="J475" s="2"/>
      <c r="K475" s="2"/>
      <c r="M475" s="2"/>
      <c r="O475" s="2"/>
      <c r="R475" s="2"/>
    </row>
    <row r="476" spans="1:18" x14ac:dyDescent="0.25">
      <c r="A476" t="s">
        <v>239</v>
      </c>
      <c r="B476" t="s">
        <v>57</v>
      </c>
      <c r="C476" t="s">
        <v>58</v>
      </c>
      <c r="D476" s="12">
        <f>ROUNDUP((92017.12),0)</f>
        <v>92018</v>
      </c>
      <c r="E476" s="2"/>
      <c r="F476" s="37">
        <f t="shared" ref="F476:F514" si="104">H476/J476</f>
        <v>0</v>
      </c>
      <c r="G476" s="2"/>
      <c r="H476" s="12">
        <f t="shared" ref="H476:H515" si="105">D476-J476</f>
        <v>0</v>
      </c>
      <c r="I476" s="2"/>
      <c r="J476" s="12">
        <f>ROUNDUP((87217.1+4800.02),0)</f>
        <v>92018</v>
      </c>
      <c r="K476" s="2"/>
      <c r="L476" s="13">
        <f t="shared" ref="L476:L514" si="106">N476/P476</f>
        <v>2.8398359354918024E-2</v>
      </c>
      <c r="M476" s="2"/>
      <c r="N476" s="12">
        <f t="shared" ref="N476:N515" si="107">J476-P476</f>
        <v>2541</v>
      </c>
      <c r="O476" s="2"/>
      <c r="P476" s="12">
        <v>89477</v>
      </c>
      <c r="Q476" t="s">
        <v>386</v>
      </c>
      <c r="R476" s="2"/>
    </row>
    <row r="477" spans="1:18" x14ac:dyDescent="0.25">
      <c r="A477" t="s">
        <v>239</v>
      </c>
      <c r="B477" t="s">
        <v>30</v>
      </c>
      <c r="C477" t="s">
        <v>31</v>
      </c>
      <c r="D477" s="12">
        <f>ROUNDUP((288203.81),0)</f>
        <v>288204</v>
      </c>
      <c r="E477" s="2"/>
      <c r="F477" s="37">
        <f t="shared" si="104"/>
        <v>2.2297263743357998E-2</v>
      </c>
      <c r="G477" s="2"/>
      <c r="H477" s="12">
        <f t="shared" si="105"/>
        <v>6286</v>
      </c>
      <c r="I477" s="2"/>
      <c r="J477" s="12">
        <f>ROUNDUP((281917.31),0)</f>
        <v>281918</v>
      </c>
      <c r="K477" s="2"/>
      <c r="L477" s="13">
        <f t="shared" si="106"/>
        <v>4.8026200840895317E-2</v>
      </c>
      <c r="M477" s="2"/>
      <c r="N477" s="12">
        <f t="shared" si="107"/>
        <v>12919</v>
      </c>
      <c r="O477" s="2"/>
      <c r="P477" s="12">
        <v>268999</v>
      </c>
      <c r="Q477" t="s">
        <v>416</v>
      </c>
      <c r="R477" s="2"/>
    </row>
    <row r="478" spans="1:18" x14ac:dyDescent="0.25">
      <c r="A478" t="s">
        <v>239</v>
      </c>
      <c r="B478" t="s">
        <v>59</v>
      </c>
      <c r="C478" t="s">
        <v>60</v>
      </c>
      <c r="D478" s="12">
        <f>ROUNDUP((176737.52),0)</f>
        <v>176738</v>
      </c>
      <c r="E478" s="2"/>
      <c r="F478" s="37">
        <f t="shared" si="104"/>
        <v>5.5240438006758777E-2</v>
      </c>
      <c r="G478" s="2"/>
      <c r="H478" s="12">
        <f t="shared" si="105"/>
        <v>9252</v>
      </c>
      <c r="I478" s="2"/>
      <c r="J478" s="12">
        <f>ROUNDUP((167485.52),0)</f>
        <v>167486</v>
      </c>
      <c r="K478" s="2"/>
      <c r="L478" s="13">
        <f t="shared" si="106"/>
        <v>1.1474400009662652E-2</v>
      </c>
      <c r="M478" s="2"/>
      <c r="N478" s="12">
        <f t="shared" si="107"/>
        <v>1900</v>
      </c>
      <c r="O478" s="2"/>
      <c r="P478" s="12">
        <v>165586</v>
      </c>
      <c r="Q478" t="s">
        <v>419</v>
      </c>
      <c r="R478" s="2"/>
    </row>
    <row r="479" spans="1:18" x14ac:dyDescent="0.25">
      <c r="A479" t="s">
        <v>239</v>
      </c>
      <c r="B479" t="s">
        <v>61</v>
      </c>
      <c r="C479" t="s">
        <v>75</v>
      </c>
      <c r="D479" s="12">
        <v>5000</v>
      </c>
      <c r="E479" s="2"/>
      <c r="F479" s="37">
        <f t="shared" si="104"/>
        <v>0</v>
      </c>
      <c r="G479" s="2"/>
      <c r="H479" s="12">
        <f t="shared" si="105"/>
        <v>0</v>
      </c>
      <c r="I479" s="2"/>
      <c r="J479" s="12">
        <v>5000</v>
      </c>
      <c r="K479" s="2"/>
      <c r="L479" s="13">
        <f t="shared" si="106"/>
        <v>0</v>
      </c>
      <c r="M479" s="2"/>
      <c r="N479" s="12">
        <f t="shared" si="107"/>
        <v>0</v>
      </c>
      <c r="O479" s="2"/>
      <c r="P479" s="12">
        <v>5000</v>
      </c>
      <c r="R479" s="2"/>
    </row>
    <row r="480" spans="1:18" x14ac:dyDescent="0.25">
      <c r="A480" t="s">
        <v>239</v>
      </c>
      <c r="B480" t="s">
        <v>34</v>
      </c>
      <c r="C480" t="s">
        <v>35</v>
      </c>
      <c r="D480" s="12">
        <f>ROUNDUP((1527.94),0)</f>
        <v>1528</v>
      </c>
      <c r="E480" s="2"/>
      <c r="F480" s="37">
        <f t="shared" si="104"/>
        <v>3.0343897505057317E-2</v>
      </c>
      <c r="G480" s="2"/>
      <c r="H480" s="12">
        <f t="shared" si="105"/>
        <v>45</v>
      </c>
      <c r="I480" s="2"/>
      <c r="J480" s="12">
        <v>1483</v>
      </c>
      <c r="K480" s="2"/>
      <c r="L480" s="13">
        <f t="shared" si="106"/>
        <v>2.986559139784946</v>
      </c>
      <c r="M480" s="2"/>
      <c r="N480" s="12">
        <f t="shared" si="107"/>
        <v>1111</v>
      </c>
      <c r="O480" s="2"/>
      <c r="P480" s="12">
        <v>372</v>
      </c>
      <c r="R480" s="2"/>
    </row>
    <row r="481" spans="1:18" x14ac:dyDescent="0.25">
      <c r="A481" t="s">
        <v>239</v>
      </c>
      <c r="B481" t="s">
        <v>9</v>
      </c>
      <c r="C481" t="s">
        <v>10</v>
      </c>
      <c r="D481" s="12">
        <f>ROUNDUP((24967.42),0)</f>
        <v>24968</v>
      </c>
      <c r="E481" s="2"/>
      <c r="F481" s="37">
        <f t="shared" si="104"/>
        <v>3.0203003796005941E-2</v>
      </c>
      <c r="G481" s="2"/>
      <c r="H481" s="12">
        <f t="shared" si="105"/>
        <v>732</v>
      </c>
      <c r="I481" s="2"/>
      <c r="J481" s="12">
        <f>ROUNDUP((24235.08),0)</f>
        <v>24236</v>
      </c>
      <c r="K481" s="2"/>
      <c r="L481" s="13">
        <f t="shared" si="106"/>
        <v>0.46707021791767556</v>
      </c>
      <c r="M481" s="2"/>
      <c r="N481" s="12">
        <f t="shared" si="107"/>
        <v>7716</v>
      </c>
      <c r="O481" s="2"/>
      <c r="P481" s="12">
        <v>16520</v>
      </c>
      <c r="R481" s="2"/>
    </row>
    <row r="482" spans="1:18" x14ac:dyDescent="0.25">
      <c r="A482" t="s">
        <v>239</v>
      </c>
      <c r="B482" t="s">
        <v>36</v>
      </c>
      <c r="C482" t="s">
        <v>37</v>
      </c>
      <c r="D482" s="12">
        <f>ROUNDUP((30812.58),0)</f>
        <v>30813</v>
      </c>
      <c r="E482" s="2"/>
      <c r="F482" s="37">
        <f t="shared" si="104"/>
        <v>1.4653582718651212E-2</v>
      </c>
      <c r="G482" s="2"/>
      <c r="H482" s="12">
        <f t="shared" si="105"/>
        <v>445</v>
      </c>
      <c r="I482" s="2"/>
      <c r="J482" s="12">
        <f>ROUNDUP((30367.04),)</f>
        <v>30368</v>
      </c>
      <c r="K482" s="2"/>
      <c r="L482" s="13">
        <f t="shared" si="106"/>
        <v>2.9528426619656236E-2</v>
      </c>
      <c r="M482" s="2"/>
      <c r="N482" s="12">
        <f t="shared" si="107"/>
        <v>871</v>
      </c>
      <c r="O482" s="2"/>
      <c r="P482" s="12">
        <v>29497</v>
      </c>
      <c r="R482" s="2"/>
    </row>
    <row r="483" spans="1:18" x14ac:dyDescent="0.25">
      <c r="A483" t="s">
        <v>239</v>
      </c>
      <c r="B483" t="s">
        <v>38</v>
      </c>
      <c r="C483" t="s">
        <v>39</v>
      </c>
      <c r="D483" s="12">
        <f>ROUNDUP((42254.18),0)</f>
        <v>42255</v>
      </c>
      <c r="E483" s="2"/>
      <c r="F483" s="37">
        <f t="shared" si="104"/>
        <v>0</v>
      </c>
      <c r="G483" s="2"/>
      <c r="H483" s="12">
        <f t="shared" si="105"/>
        <v>0</v>
      </c>
      <c r="I483" s="2"/>
      <c r="J483" s="12">
        <f>ROUNDUP((42254.18),0)</f>
        <v>42255</v>
      </c>
      <c r="K483" s="2"/>
      <c r="L483" s="13">
        <f t="shared" si="106"/>
        <v>-0.58793700326685849</v>
      </c>
      <c r="M483" s="2"/>
      <c r="N483" s="12">
        <f t="shared" si="107"/>
        <v>-60290</v>
      </c>
      <c r="O483" s="2"/>
      <c r="P483" s="12">
        <v>102545</v>
      </c>
      <c r="R483" s="2"/>
    </row>
    <row r="484" spans="1:18" x14ac:dyDescent="0.25">
      <c r="A484" t="s">
        <v>239</v>
      </c>
      <c r="B484" t="s">
        <v>11</v>
      </c>
      <c r="C484" t="s">
        <v>12</v>
      </c>
      <c r="D484" s="12">
        <f>ROUNDUP((42989.82),0)</f>
        <v>42990</v>
      </c>
      <c r="E484" s="2"/>
      <c r="F484" s="37">
        <f t="shared" si="104"/>
        <v>2.8419692837663268E-2</v>
      </c>
      <c r="G484" s="2"/>
      <c r="H484" s="12">
        <f t="shared" si="105"/>
        <v>1188</v>
      </c>
      <c r="I484" s="2"/>
      <c r="J484" s="12">
        <f>ROUNDUP((41801.13),0)</f>
        <v>41802</v>
      </c>
      <c r="K484" s="2"/>
      <c r="L484" s="13">
        <f t="shared" si="106"/>
        <v>3.2836705952116227E-2</v>
      </c>
      <c r="M484" s="2"/>
      <c r="N484" s="12">
        <f t="shared" si="107"/>
        <v>1329</v>
      </c>
      <c r="O484" s="2"/>
      <c r="P484" s="12">
        <v>40473</v>
      </c>
      <c r="R484" s="2"/>
    </row>
    <row r="485" spans="1:18" x14ac:dyDescent="0.25">
      <c r="A485" t="s">
        <v>239</v>
      </c>
      <c r="B485" t="s">
        <v>13</v>
      </c>
      <c r="C485" t="s">
        <v>14</v>
      </c>
      <c r="D485" s="12">
        <v>1800</v>
      </c>
      <c r="E485" s="2"/>
      <c r="F485" s="37">
        <f t="shared" si="104"/>
        <v>0</v>
      </c>
      <c r="G485" s="2"/>
      <c r="H485" s="12">
        <f t="shared" si="105"/>
        <v>0</v>
      </c>
      <c r="I485" s="2"/>
      <c r="J485" s="12">
        <v>1800</v>
      </c>
      <c r="K485" s="2"/>
      <c r="L485" s="13">
        <f t="shared" si="106"/>
        <v>0.2</v>
      </c>
      <c r="M485" s="2"/>
      <c r="N485" s="12">
        <f t="shared" si="107"/>
        <v>300</v>
      </c>
      <c r="O485" s="2"/>
      <c r="P485" s="12">
        <v>1500</v>
      </c>
      <c r="R485" s="2"/>
    </row>
    <row r="486" spans="1:18" x14ac:dyDescent="0.25">
      <c r="A486" t="s">
        <v>239</v>
      </c>
      <c r="B486" t="s">
        <v>15</v>
      </c>
      <c r="C486" t="s">
        <v>16</v>
      </c>
      <c r="D486" s="12">
        <v>50000</v>
      </c>
      <c r="E486" s="2"/>
      <c r="F486" s="37">
        <f t="shared" si="104"/>
        <v>0</v>
      </c>
      <c r="G486" s="2"/>
      <c r="H486" s="12">
        <f t="shared" si="105"/>
        <v>0</v>
      </c>
      <c r="I486" s="2"/>
      <c r="J486" s="12">
        <v>50000</v>
      </c>
      <c r="K486" s="2"/>
      <c r="L486" s="13">
        <f t="shared" si="106"/>
        <v>6.3829787234042548E-2</v>
      </c>
      <c r="M486" s="2"/>
      <c r="N486" s="12">
        <f t="shared" si="107"/>
        <v>3000</v>
      </c>
      <c r="O486" s="2"/>
      <c r="P486" s="12">
        <v>47000</v>
      </c>
      <c r="R486" s="2"/>
    </row>
    <row r="487" spans="1:18" x14ac:dyDescent="0.25">
      <c r="A487" t="s">
        <v>239</v>
      </c>
      <c r="B487" t="s">
        <v>19</v>
      </c>
      <c r="C487" t="s">
        <v>20</v>
      </c>
      <c r="D487" s="12">
        <v>200</v>
      </c>
      <c r="E487" s="2"/>
      <c r="F487" s="37">
        <f t="shared" si="104"/>
        <v>0</v>
      </c>
      <c r="G487" s="2"/>
      <c r="H487" s="12">
        <f t="shared" si="105"/>
        <v>0</v>
      </c>
      <c r="I487" s="2"/>
      <c r="J487" s="12">
        <v>200</v>
      </c>
      <c r="K487" s="2"/>
      <c r="L487" s="13">
        <f t="shared" si="106"/>
        <v>0</v>
      </c>
      <c r="M487" s="2"/>
      <c r="N487" s="12">
        <f t="shared" si="107"/>
        <v>0</v>
      </c>
      <c r="O487" s="2"/>
      <c r="P487" s="12">
        <v>200</v>
      </c>
      <c r="R487" s="2"/>
    </row>
    <row r="488" spans="1:18" x14ac:dyDescent="0.25">
      <c r="A488" t="s">
        <v>239</v>
      </c>
      <c r="B488" t="s">
        <v>21</v>
      </c>
      <c r="C488" t="s">
        <v>22</v>
      </c>
      <c r="D488" s="12">
        <v>1000</v>
      </c>
      <c r="E488" s="2"/>
      <c r="F488" s="37">
        <f t="shared" si="104"/>
        <v>0</v>
      </c>
      <c r="G488" s="2"/>
      <c r="H488" s="12">
        <f t="shared" si="105"/>
        <v>0</v>
      </c>
      <c r="I488" s="2"/>
      <c r="J488" s="12">
        <v>1000</v>
      </c>
      <c r="K488" s="2"/>
      <c r="L488" s="13">
        <f t="shared" si="106"/>
        <v>0</v>
      </c>
      <c r="M488" s="2"/>
      <c r="N488" s="12">
        <f t="shared" si="107"/>
        <v>0</v>
      </c>
      <c r="O488" s="2"/>
      <c r="P488" s="12">
        <v>1000</v>
      </c>
      <c r="R488" s="2"/>
    </row>
    <row r="489" spans="1:18" x14ac:dyDescent="0.25">
      <c r="A489" t="s">
        <v>239</v>
      </c>
      <c r="B489" t="s">
        <v>153</v>
      </c>
      <c r="C489" t="s">
        <v>154</v>
      </c>
      <c r="D489" s="12">
        <v>1000</v>
      </c>
      <c r="E489" s="2"/>
      <c r="F489" s="37">
        <f t="shared" si="104"/>
        <v>0</v>
      </c>
      <c r="G489" s="2"/>
      <c r="H489" s="12">
        <f t="shared" si="105"/>
        <v>0</v>
      </c>
      <c r="I489" s="2"/>
      <c r="J489" s="12">
        <v>1000</v>
      </c>
      <c r="K489" s="2"/>
      <c r="L489" s="13">
        <f t="shared" si="106"/>
        <v>0.25</v>
      </c>
      <c r="M489" s="2"/>
      <c r="N489" s="12">
        <f t="shared" si="107"/>
        <v>200</v>
      </c>
      <c r="O489" s="2"/>
      <c r="P489" s="12">
        <v>800</v>
      </c>
      <c r="R489" s="2"/>
    </row>
    <row r="490" spans="1:18" x14ac:dyDescent="0.25">
      <c r="A490" t="s">
        <v>239</v>
      </c>
      <c r="B490" t="s">
        <v>40</v>
      </c>
      <c r="C490" t="s">
        <v>41</v>
      </c>
      <c r="D490" s="12">
        <v>1250</v>
      </c>
      <c r="E490" s="2"/>
      <c r="F490" s="37">
        <f t="shared" si="104"/>
        <v>0</v>
      </c>
      <c r="G490" s="2"/>
      <c r="H490" s="12">
        <f t="shared" si="105"/>
        <v>0</v>
      </c>
      <c r="I490" s="2"/>
      <c r="J490" s="12">
        <v>1250</v>
      </c>
      <c r="K490" s="2"/>
      <c r="L490" s="13">
        <f t="shared" si="106"/>
        <v>0.48809523809523808</v>
      </c>
      <c r="M490" s="2"/>
      <c r="N490" s="12">
        <f t="shared" si="107"/>
        <v>410</v>
      </c>
      <c r="O490" s="2"/>
      <c r="P490" s="12">
        <v>840</v>
      </c>
      <c r="R490" s="2"/>
    </row>
    <row r="491" spans="1:18" x14ac:dyDescent="0.25">
      <c r="A491" t="s">
        <v>239</v>
      </c>
      <c r="B491" t="s">
        <v>240</v>
      </c>
      <c r="C491" t="s">
        <v>241</v>
      </c>
      <c r="D491" s="12">
        <v>7500</v>
      </c>
      <c r="E491" s="2"/>
      <c r="F491" s="37">
        <f t="shared" si="104"/>
        <v>0</v>
      </c>
      <c r="G491" s="2"/>
      <c r="H491" s="12">
        <f t="shared" si="105"/>
        <v>0</v>
      </c>
      <c r="I491" s="2"/>
      <c r="J491" s="12">
        <v>7500</v>
      </c>
      <c r="K491" s="2"/>
      <c r="L491" s="13">
        <f t="shared" si="106"/>
        <v>-4.4950974150006366E-2</v>
      </c>
      <c r="M491" s="2"/>
      <c r="N491" s="12">
        <f t="shared" si="107"/>
        <v>-353</v>
      </c>
      <c r="O491" s="2"/>
      <c r="P491" s="12">
        <v>7853</v>
      </c>
      <c r="R491" s="2"/>
    </row>
    <row r="492" spans="1:18" x14ac:dyDescent="0.25">
      <c r="A492" t="s">
        <v>239</v>
      </c>
      <c r="B492" t="s">
        <v>242</v>
      </c>
      <c r="C492" t="s">
        <v>243</v>
      </c>
      <c r="D492" s="12">
        <v>23000</v>
      </c>
      <c r="E492" s="2"/>
      <c r="F492" s="37">
        <f t="shared" si="104"/>
        <v>0</v>
      </c>
      <c r="G492" s="2"/>
      <c r="H492" s="12">
        <f t="shared" si="105"/>
        <v>0</v>
      </c>
      <c r="I492" s="2"/>
      <c r="J492" s="12">
        <v>23000</v>
      </c>
      <c r="K492" s="2"/>
      <c r="L492" s="13">
        <f t="shared" si="106"/>
        <v>0.15</v>
      </c>
      <c r="M492" s="2"/>
      <c r="N492" s="12">
        <f t="shared" si="107"/>
        <v>3000</v>
      </c>
      <c r="O492" s="2"/>
      <c r="P492" s="12">
        <v>20000</v>
      </c>
      <c r="R492" s="2"/>
    </row>
    <row r="493" spans="1:18" x14ac:dyDescent="0.25">
      <c r="A493" t="s">
        <v>239</v>
      </c>
      <c r="B493" t="s">
        <v>244</v>
      </c>
      <c r="C493" t="s">
        <v>245</v>
      </c>
      <c r="D493" s="12">
        <v>3800</v>
      </c>
      <c r="E493" s="2"/>
      <c r="F493" s="37">
        <f t="shared" si="104"/>
        <v>0</v>
      </c>
      <c r="G493" s="2"/>
      <c r="H493" s="12">
        <f t="shared" si="105"/>
        <v>0</v>
      </c>
      <c r="I493" s="2"/>
      <c r="J493" s="12">
        <v>3800</v>
      </c>
      <c r="K493" s="2"/>
      <c r="L493" s="13">
        <f t="shared" si="106"/>
        <v>0.26666666666666666</v>
      </c>
      <c r="M493" s="2"/>
      <c r="N493" s="12">
        <f t="shared" si="107"/>
        <v>800</v>
      </c>
      <c r="O493" s="2"/>
      <c r="P493" s="12">
        <v>3000</v>
      </c>
      <c r="R493" s="2"/>
    </row>
    <row r="494" spans="1:18" x14ac:dyDescent="0.25">
      <c r="A494" t="s">
        <v>239</v>
      </c>
      <c r="B494" t="s">
        <v>246</v>
      </c>
      <c r="C494" t="s">
        <v>247</v>
      </c>
      <c r="D494" s="12">
        <f>20000-12000</f>
        <v>8000</v>
      </c>
      <c r="E494" s="2"/>
      <c r="F494" s="37">
        <f t="shared" si="104"/>
        <v>-0.6</v>
      </c>
      <c r="G494" s="2"/>
      <c r="H494" s="12">
        <f t="shared" si="105"/>
        <v>-12000</v>
      </c>
      <c r="I494" s="2"/>
      <c r="J494" s="12">
        <v>20000</v>
      </c>
      <c r="K494" s="2"/>
      <c r="L494" s="13">
        <f t="shared" si="106"/>
        <v>2.9643211100099109</v>
      </c>
      <c r="M494" s="2"/>
      <c r="N494" s="12">
        <f t="shared" si="107"/>
        <v>14955</v>
      </c>
      <c r="O494" s="2"/>
      <c r="P494" s="12">
        <v>5045</v>
      </c>
      <c r="Q494" t="s">
        <v>418</v>
      </c>
      <c r="R494" s="2"/>
    </row>
    <row r="495" spans="1:18" x14ac:dyDescent="0.25">
      <c r="A495" t="s">
        <v>239</v>
      </c>
      <c r="B495" t="s">
        <v>248</v>
      </c>
      <c r="C495" t="s">
        <v>249</v>
      </c>
      <c r="D495" s="12">
        <v>3800</v>
      </c>
      <c r="E495" s="2"/>
      <c r="F495" s="37">
        <f t="shared" si="104"/>
        <v>0</v>
      </c>
      <c r="G495" s="2"/>
      <c r="H495" s="12">
        <f t="shared" si="105"/>
        <v>0</v>
      </c>
      <c r="I495" s="2"/>
      <c r="J495" s="12">
        <v>3800</v>
      </c>
      <c r="K495" s="2"/>
      <c r="L495" s="13">
        <f t="shared" si="106"/>
        <v>0</v>
      </c>
      <c r="M495" s="2"/>
      <c r="N495" s="12">
        <f t="shared" si="107"/>
        <v>0</v>
      </c>
      <c r="O495" s="2"/>
      <c r="P495" s="12">
        <v>3800</v>
      </c>
      <c r="R495" s="2"/>
    </row>
    <row r="496" spans="1:18" x14ac:dyDescent="0.25">
      <c r="A496" t="s">
        <v>239</v>
      </c>
      <c r="B496" t="s">
        <v>85</v>
      </c>
      <c r="C496" t="s">
        <v>86</v>
      </c>
      <c r="D496" s="12">
        <v>7600</v>
      </c>
      <c r="E496" s="2"/>
      <c r="F496" s="37">
        <f t="shared" si="104"/>
        <v>0</v>
      </c>
      <c r="G496" s="2"/>
      <c r="H496" s="12">
        <f t="shared" si="105"/>
        <v>0</v>
      </c>
      <c r="I496" s="2"/>
      <c r="J496" s="12">
        <v>7600</v>
      </c>
      <c r="K496" s="2"/>
      <c r="L496" s="13">
        <f t="shared" si="106"/>
        <v>0</v>
      </c>
      <c r="M496" s="2"/>
      <c r="N496" s="12">
        <f t="shared" si="107"/>
        <v>0</v>
      </c>
      <c r="O496" s="2"/>
      <c r="P496" s="12">
        <v>7600</v>
      </c>
      <c r="R496" s="2"/>
    </row>
    <row r="497" spans="1:18" x14ac:dyDescent="0.25">
      <c r="A497" t="s">
        <v>239</v>
      </c>
      <c r="B497" t="s">
        <v>157</v>
      </c>
      <c r="C497" t="s">
        <v>158</v>
      </c>
      <c r="D497" s="12">
        <v>1800</v>
      </c>
      <c r="E497" s="2"/>
      <c r="F497" s="37">
        <f t="shared" si="104"/>
        <v>0</v>
      </c>
      <c r="G497" s="2"/>
      <c r="H497" s="12">
        <f t="shared" si="105"/>
        <v>0</v>
      </c>
      <c r="I497" s="2"/>
      <c r="J497" s="12">
        <v>1800</v>
      </c>
      <c r="K497" s="2"/>
      <c r="L497" s="13">
        <f t="shared" si="106"/>
        <v>0</v>
      </c>
      <c r="M497" s="2"/>
      <c r="N497" s="12">
        <f t="shared" si="107"/>
        <v>0</v>
      </c>
      <c r="O497" s="2"/>
      <c r="P497" s="12">
        <v>1800</v>
      </c>
      <c r="R497" s="2"/>
    </row>
    <row r="498" spans="1:18" x14ac:dyDescent="0.25">
      <c r="A498" t="s">
        <v>239</v>
      </c>
      <c r="B498" t="s">
        <v>250</v>
      </c>
      <c r="C498" t="s">
        <v>251</v>
      </c>
      <c r="D498" s="12">
        <v>1000</v>
      </c>
      <c r="E498" s="2"/>
      <c r="F498" s="37">
        <f t="shared" si="104"/>
        <v>0</v>
      </c>
      <c r="G498" s="2"/>
      <c r="H498" s="12">
        <f t="shared" si="105"/>
        <v>0</v>
      </c>
      <c r="I498" s="2"/>
      <c r="J498" s="12">
        <v>1000</v>
      </c>
      <c r="K498" s="2"/>
      <c r="L498" s="13">
        <f t="shared" si="106"/>
        <v>0</v>
      </c>
      <c r="M498" s="2"/>
      <c r="N498" s="12">
        <f t="shared" si="107"/>
        <v>0</v>
      </c>
      <c r="O498" s="2"/>
      <c r="P498" s="12">
        <v>1000</v>
      </c>
      <c r="R498" s="2"/>
    </row>
    <row r="499" spans="1:18" x14ac:dyDescent="0.25">
      <c r="A499" t="s">
        <v>239</v>
      </c>
      <c r="B499" t="s">
        <v>23</v>
      </c>
      <c r="C499" t="s">
        <v>24</v>
      </c>
      <c r="D499" s="12">
        <v>3000</v>
      </c>
      <c r="E499" s="2"/>
      <c r="F499" s="37">
        <f t="shared" si="104"/>
        <v>0</v>
      </c>
      <c r="G499" s="2"/>
      <c r="H499" s="12">
        <f t="shared" si="105"/>
        <v>0</v>
      </c>
      <c r="I499" s="2"/>
      <c r="J499" s="12">
        <v>3000</v>
      </c>
      <c r="K499" s="2"/>
      <c r="L499" s="13">
        <f t="shared" si="106"/>
        <v>1</v>
      </c>
      <c r="M499" s="2"/>
      <c r="N499" s="12">
        <f t="shared" si="107"/>
        <v>1500</v>
      </c>
      <c r="O499" s="2"/>
      <c r="P499" s="12">
        <v>1500</v>
      </c>
      <c r="R499" s="2"/>
    </row>
    <row r="500" spans="1:18" x14ac:dyDescent="0.25">
      <c r="A500" t="s">
        <v>239</v>
      </c>
      <c r="B500" t="s">
        <v>387</v>
      </c>
      <c r="C500" t="s">
        <v>388</v>
      </c>
      <c r="D500" s="12">
        <v>16000</v>
      </c>
      <c r="E500" s="2"/>
      <c r="F500" s="37">
        <f t="shared" si="104"/>
        <v>0.33333333333333331</v>
      </c>
      <c r="G500" s="2"/>
      <c r="H500" s="12">
        <f t="shared" si="105"/>
        <v>4000</v>
      </c>
      <c r="I500" s="2"/>
      <c r="J500" s="12">
        <v>12000</v>
      </c>
      <c r="K500" s="2"/>
      <c r="L500" s="13">
        <v>1</v>
      </c>
      <c r="M500" s="2"/>
      <c r="N500" s="12">
        <f t="shared" si="107"/>
        <v>12000</v>
      </c>
      <c r="O500" s="2"/>
      <c r="P500" s="12">
        <v>0</v>
      </c>
      <c r="Q500" t="s">
        <v>417</v>
      </c>
      <c r="R500" s="2"/>
    </row>
    <row r="501" spans="1:18" x14ac:dyDescent="0.25">
      <c r="A501" t="s">
        <v>239</v>
      </c>
      <c r="B501" t="s">
        <v>252</v>
      </c>
      <c r="C501" t="s">
        <v>253</v>
      </c>
      <c r="D501" s="12">
        <v>7500</v>
      </c>
      <c r="E501" s="2"/>
      <c r="F501" s="37">
        <f t="shared" si="104"/>
        <v>0</v>
      </c>
      <c r="G501" s="2"/>
      <c r="H501" s="12">
        <f t="shared" si="105"/>
        <v>0</v>
      </c>
      <c r="I501" s="2"/>
      <c r="J501" s="12">
        <v>7500</v>
      </c>
      <c r="K501" s="2"/>
      <c r="L501" s="13">
        <f t="shared" si="106"/>
        <v>7.1428571428571425E-2</v>
      </c>
      <c r="M501" s="2"/>
      <c r="N501" s="12">
        <f t="shared" si="107"/>
        <v>500</v>
      </c>
      <c r="O501" s="2"/>
      <c r="P501" s="12">
        <v>7000</v>
      </c>
      <c r="R501" s="2"/>
    </row>
    <row r="502" spans="1:18" x14ac:dyDescent="0.25">
      <c r="A502" t="s">
        <v>239</v>
      </c>
      <c r="B502" t="s">
        <v>87</v>
      </c>
      <c r="C502" t="s">
        <v>88</v>
      </c>
      <c r="D502" s="47">
        <v>3000</v>
      </c>
      <c r="E502" s="2"/>
      <c r="F502" s="37">
        <f t="shared" si="104"/>
        <v>0</v>
      </c>
      <c r="G502" s="2"/>
      <c r="H502" s="12">
        <f t="shared" si="105"/>
        <v>0</v>
      </c>
      <c r="I502" s="2"/>
      <c r="J502" s="16">
        <v>3000</v>
      </c>
      <c r="K502" s="2"/>
      <c r="L502" s="13">
        <f t="shared" si="106"/>
        <v>0</v>
      </c>
      <c r="M502" s="2"/>
      <c r="N502" s="12">
        <f t="shared" si="107"/>
        <v>0</v>
      </c>
      <c r="O502" s="2"/>
      <c r="P502" s="12">
        <v>3000</v>
      </c>
      <c r="R502" s="2"/>
    </row>
    <row r="503" spans="1:18" x14ac:dyDescent="0.25">
      <c r="A503" t="s">
        <v>239</v>
      </c>
      <c r="B503" t="s">
        <v>119</v>
      </c>
      <c r="C503" t="s">
        <v>120</v>
      </c>
      <c r="D503" s="47">
        <v>3000</v>
      </c>
      <c r="E503" s="2"/>
      <c r="F503" s="37">
        <f t="shared" si="104"/>
        <v>9</v>
      </c>
      <c r="G503" s="2"/>
      <c r="H503" s="12">
        <f t="shared" si="105"/>
        <v>2700</v>
      </c>
      <c r="I503" s="2"/>
      <c r="J503" s="16">
        <v>300</v>
      </c>
      <c r="K503" s="2"/>
      <c r="L503" s="13">
        <f t="shared" si="106"/>
        <v>0</v>
      </c>
      <c r="M503" s="2"/>
      <c r="N503" s="12">
        <f t="shared" si="107"/>
        <v>0</v>
      </c>
      <c r="O503" s="2"/>
      <c r="P503" s="12">
        <v>300</v>
      </c>
      <c r="Q503" t="s">
        <v>415</v>
      </c>
      <c r="R503" s="2"/>
    </row>
    <row r="504" spans="1:18" x14ac:dyDescent="0.25">
      <c r="A504" t="s">
        <v>239</v>
      </c>
      <c r="B504" t="s">
        <v>121</v>
      </c>
      <c r="C504" t="s">
        <v>173</v>
      </c>
      <c r="D504" s="47">
        <v>5130</v>
      </c>
      <c r="E504" s="2"/>
      <c r="F504" s="37">
        <f t="shared" si="104"/>
        <v>0.14000000000000001</v>
      </c>
      <c r="G504" s="2"/>
      <c r="H504" s="12">
        <f t="shared" si="105"/>
        <v>630</v>
      </c>
      <c r="I504" s="2"/>
      <c r="J504" s="16">
        <v>4500</v>
      </c>
      <c r="K504" s="2"/>
      <c r="L504" s="13">
        <f t="shared" si="106"/>
        <v>0</v>
      </c>
      <c r="M504" s="2"/>
      <c r="N504" s="12">
        <f t="shared" si="107"/>
        <v>0</v>
      </c>
      <c r="O504" s="2"/>
      <c r="P504" s="12">
        <v>4500</v>
      </c>
      <c r="R504" s="2"/>
    </row>
    <row r="505" spans="1:18" x14ac:dyDescent="0.25">
      <c r="A505" t="s">
        <v>239</v>
      </c>
      <c r="B505" t="s">
        <v>123</v>
      </c>
      <c r="C505" t="s">
        <v>124</v>
      </c>
      <c r="D505" s="47">
        <v>3800</v>
      </c>
      <c r="E505" s="2"/>
      <c r="F505" s="37">
        <f t="shared" si="104"/>
        <v>0</v>
      </c>
      <c r="G505" s="2"/>
      <c r="H505" s="12">
        <f t="shared" si="105"/>
        <v>0</v>
      </c>
      <c r="I505" s="2"/>
      <c r="J505" s="16">
        <v>3800</v>
      </c>
      <c r="K505" s="2"/>
      <c r="L505" s="13">
        <f t="shared" si="106"/>
        <v>-7.3145245559038665E-3</v>
      </c>
      <c r="M505" s="2"/>
      <c r="N505" s="12">
        <f t="shared" si="107"/>
        <v>-28</v>
      </c>
      <c r="O505" s="2"/>
      <c r="P505" s="12">
        <v>3828</v>
      </c>
      <c r="R505" s="2"/>
    </row>
    <row r="506" spans="1:18" x14ac:dyDescent="0.25">
      <c r="A506" t="s">
        <v>239</v>
      </c>
      <c r="B506" t="s">
        <v>125</v>
      </c>
      <c r="C506" t="s">
        <v>126</v>
      </c>
      <c r="D506" s="47">
        <v>1000</v>
      </c>
      <c r="E506" s="2"/>
      <c r="F506" s="37">
        <f t="shared" si="104"/>
        <v>0.1111111111111111</v>
      </c>
      <c r="G506" s="2"/>
      <c r="H506" s="12">
        <f t="shared" si="105"/>
        <v>100</v>
      </c>
      <c r="I506" s="2"/>
      <c r="J506" s="16">
        <v>900</v>
      </c>
      <c r="K506" s="2"/>
      <c r="L506" s="13">
        <f t="shared" si="106"/>
        <v>0.16429495472186287</v>
      </c>
      <c r="M506" s="2"/>
      <c r="N506" s="12">
        <f t="shared" si="107"/>
        <v>127</v>
      </c>
      <c r="O506" s="2"/>
      <c r="P506" s="12">
        <v>773</v>
      </c>
      <c r="R506" s="2"/>
    </row>
    <row r="507" spans="1:18" ht="120" x14ac:dyDescent="0.25">
      <c r="A507" s="1" t="s">
        <v>0</v>
      </c>
      <c r="B507" s="1" t="s">
        <v>1</v>
      </c>
      <c r="C507" s="1" t="s">
        <v>2</v>
      </c>
      <c r="D507" s="5" t="s">
        <v>337</v>
      </c>
      <c r="E507" s="1"/>
      <c r="F507" s="5" t="s">
        <v>409</v>
      </c>
      <c r="G507" s="1"/>
      <c r="H507" s="5" t="s">
        <v>410</v>
      </c>
      <c r="I507" s="1"/>
      <c r="J507" s="5" t="s">
        <v>336</v>
      </c>
      <c r="K507" s="1"/>
      <c r="L507" s="4" t="s">
        <v>344</v>
      </c>
      <c r="M507" s="1"/>
      <c r="N507" s="4" t="s">
        <v>342</v>
      </c>
      <c r="O507" s="1"/>
      <c r="P507" s="4" t="s">
        <v>335</v>
      </c>
      <c r="R507" s="1"/>
    </row>
    <row r="508" spans="1:18" x14ac:dyDescent="0.25">
      <c r="A508" t="s">
        <v>239</v>
      </c>
      <c r="B508" t="s">
        <v>254</v>
      </c>
      <c r="C508" t="s">
        <v>255</v>
      </c>
      <c r="D508" s="47">
        <v>2200</v>
      </c>
      <c r="E508" s="2"/>
      <c r="F508" s="37">
        <f t="shared" si="104"/>
        <v>0</v>
      </c>
      <c r="G508" s="2"/>
      <c r="H508" s="12">
        <f t="shared" si="105"/>
        <v>0</v>
      </c>
      <c r="I508" s="2"/>
      <c r="J508" s="16">
        <v>2200</v>
      </c>
      <c r="K508" s="2"/>
      <c r="L508" s="13">
        <f t="shared" si="106"/>
        <v>0</v>
      </c>
      <c r="M508" s="2"/>
      <c r="N508" s="12">
        <f t="shared" si="107"/>
        <v>0</v>
      </c>
      <c r="O508" s="2"/>
      <c r="P508" s="12">
        <v>2200</v>
      </c>
      <c r="R508" s="2"/>
    </row>
    <row r="509" spans="1:18" x14ac:dyDescent="0.25">
      <c r="A509" t="s">
        <v>239</v>
      </c>
      <c r="B509" t="s">
        <v>69</v>
      </c>
      <c r="C509" t="s">
        <v>70</v>
      </c>
      <c r="D509" s="47">
        <v>23000</v>
      </c>
      <c r="E509" s="2"/>
      <c r="F509" s="37">
        <f t="shared" si="104"/>
        <v>0</v>
      </c>
      <c r="G509" s="2"/>
      <c r="H509" s="12">
        <f t="shared" si="105"/>
        <v>0</v>
      </c>
      <c r="I509" s="2"/>
      <c r="J509" s="16">
        <f>5000+10000+8000</f>
        <v>23000</v>
      </c>
      <c r="K509" s="2"/>
      <c r="L509" s="13">
        <f t="shared" si="106"/>
        <v>3.6</v>
      </c>
      <c r="M509" s="2"/>
      <c r="N509" s="12">
        <f t="shared" si="107"/>
        <v>18000</v>
      </c>
      <c r="O509" s="2"/>
      <c r="P509" s="12">
        <v>5000</v>
      </c>
      <c r="Q509" t="s">
        <v>413</v>
      </c>
      <c r="R509" s="2"/>
    </row>
    <row r="510" spans="1:18" x14ac:dyDescent="0.25">
      <c r="A510" t="s">
        <v>239</v>
      </c>
      <c r="B510" t="s">
        <v>216</v>
      </c>
      <c r="C510" t="s">
        <v>256</v>
      </c>
      <c r="D510" s="47">
        <v>9200</v>
      </c>
      <c r="E510" s="2"/>
      <c r="F510" s="37">
        <f t="shared" si="104"/>
        <v>0</v>
      </c>
      <c r="G510" s="2"/>
      <c r="H510" s="12">
        <f t="shared" si="105"/>
        <v>0</v>
      </c>
      <c r="I510" s="2"/>
      <c r="J510" s="16">
        <v>9200</v>
      </c>
      <c r="K510" s="2"/>
      <c r="L510" s="13">
        <f t="shared" si="106"/>
        <v>0</v>
      </c>
      <c r="M510" s="2"/>
      <c r="N510" s="12">
        <f t="shared" si="107"/>
        <v>0</v>
      </c>
      <c r="O510" s="2"/>
      <c r="P510" s="12">
        <v>9200</v>
      </c>
      <c r="R510" s="2"/>
    </row>
    <row r="511" spans="1:18" x14ac:dyDescent="0.25">
      <c r="A511" t="s">
        <v>239</v>
      </c>
      <c r="B511" t="s">
        <v>257</v>
      </c>
      <c r="C511" t="s">
        <v>258</v>
      </c>
      <c r="D511" s="47">
        <v>5000</v>
      </c>
      <c r="E511" s="2"/>
      <c r="F511" s="37">
        <f t="shared" si="104"/>
        <v>0</v>
      </c>
      <c r="G511" s="2"/>
      <c r="H511" s="12">
        <f t="shared" si="105"/>
        <v>0</v>
      </c>
      <c r="I511" s="2"/>
      <c r="J511" s="16">
        <v>5000</v>
      </c>
      <c r="K511" s="2"/>
      <c r="L511" s="13">
        <f t="shared" si="106"/>
        <v>0</v>
      </c>
      <c r="M511" s="2"/>
      <c r="N511" s="12">
        <f t="shared" si="107"/>
        <v>0</v>
      </c>
      <c r="O511" s="2"/>
      <c r="P511" s="12">
        <v>5000</v>
      </c>
      <c r="R511" s="2"/>
    </row>
    <row r="512" spans="1:18" x14ac:dyDescent="0.25">
      <c r="A512" t="s">
        <v>239</v>
      </c>
      <c r="B512" t="s">
        <v>259</v>
      </c>
      <c r="C512" t="s">
        <v>260</v>
      </c>
      <c r="D512" s="47">
        <v>4800</v>
      </c>
      <c r="E512" s="2"/>
      <c r="F512" s="37">
        <f t="shared" si="104"/>
        <v>0</v>
      </c>
      <c r="G512" s="2"/>
      <c r="H512" s="12">
        <f t="shared" si="105"/>
        <v>0</v>
      </c>
      <c r="I512" s="2"/>
      <c r="J512" s="16">
        <v>4800</v>
      </c>
      <c r="K512" s="2"/>
      <c r="L512" s="13">
        <f t="shared" si="106"/>
        <v>2.3454157782515993E-2</v>
      </c>
      <c r="M512" s="2"/>
      <c r="N512" s="12">
        <f t="shared" si="107"/>
        <v>110</v>
      </c>
      <c r="O512" s="2"/>
      <c r="P512" s="12">
        <v>4690</v>
      </c>
      <c r="R512" s="2"/>
    </row>
    <row r="513" spans="1:18" x14ac:dyDescent="0.25">
      <c r="A513" t="s">
        <v>239</v>
      </c>
      <c r="B513" t="s">
        <v>233</v>
      </c>
      <c r="C513" t="s">
        <v>234</v>
      </c>
      <c r="D513" s="47">
        <v>1200</v>
      </c>
      <c r="E513" s="2"/>
      <c r="F513" s="37">
        <f t="shared" si="104"/>
        <v>0</v>
      </c>
      <c r="G513" s="2"/>
      <c r="H513" s="12">
        <f t="shared" si="105"/>
        <v>0</v>
      </c>
      <c r="I513" s="2"/>
      <c r="J513" s="16">
        <v>1200</v>
      </c>
      <c r="K513" s="2"/>
      <c r="L513" s="13">
        <f t="shared" si="106"/>
        <v>4.3478260869565216E-2</v>
      </c>
      <c r="M513" s="2"/>
      <c r="N513" s="12">
        <f t="shared" si="107"/>
        <v>50</v>
      </c>
      <c r="O513" s="2"/>
      <c r="P513" s="12">
        <v>1150</v>
      </c>
      <c r="R513" s="2"/>
    </row>
    <row r="514" spans="1:18" x14ac:dyDescent="0.25">
      <c r="A514" t="s">
        <v>239</v>
      </c>
      <c r="B514" t="s">
        <v>71</v>
      </c>
      <c r="C514" t="s">
        <v>72</v>
      </c>
      <c r="D514" s="47">
        <f>12000+8000</f>
        <v>20000</v>
      </c>
      <c r="E514" s="2"/>
      <c r="F514" s="37">
        <f t="shared" si="104"/>
        <v>-0.7142857142857143</v>
      </c>
      <c r="G514" s="2"/>
      <c r="H514" s="12">
        <f t="shared" si="105"/>
        <v>-50000</v>
      </c>
      <c r="I514" s="2"/>
      <c r="J514" s="16">
        <v>70000</v>
      </c>
      <c r="K514" s="2"/>
      <c r="L514" s="13">
        <f t="shared" si="106"/>
        <v>5.0344827586206895</v>
      </c>
      <c r="M514" s="2"/>
      <c r="N514" s="12">
        <f t="shared" si="107"/>
        <v>58400</v>
      </c>
      <c r="O514" s="2"/>
      <c r="P514" s="12">
        <v>11600</v>
      </c>
      <c r="Q514" t="s">
        <v>389</v>
      </c>
      <c r="R514" s="2"/>
    </row>
    <row r="515" spans="1:18" x14ac:dyDescent="0.25">
      <c r="A515" s="20" t="s">
        <v>239</v>
      </c>
      <c r="B515" t="s">
        <v>387</v>
      </c>
      <c r="C515" t="s">
        <v>420</v>
      </c>
      <c r="D515" s="47">
        <v>2500</v>
      </c>
      <c r="E515" s="2"/>
      <c r="F515" s="40">
        <v>100</v>
      </c>
      <c r="G515" s="2"/>
      <c r="H515" s="12">
        <f t="shared" si="105"/>
        <v>2500</v>
      </c>
      <c r="I515" s="2"/>
      <c r="J515" s="16">
        <v>0</v>
      </c>
      <c r="K515" s="2"/>
      <c r="L515" s="13">
        <v>1</v>
      </c>
      <c r="M515" s="2"/>
      <c r="N515" s="12">
        <f t="shared" si="107"/>
        <v>0</v>
      </c>
      <c r="O515" s="2"/>
      <c r="P515" s="12">
        <v>0</v>
      </c>
      <c r="Q515" s="21"/>
      <c r="R515" s="2"/>
    </row>
    <row r="516" spans="1:18" x14ac:dyDescent="0.25">
      <c r="D516" s="10"/>
      <c r="E516" s="2"/>
      <c r="F516" s="10"/>
      <c r="G516" s="2"/>
      <c r="H516" s="10"/>
      <c r="I516" s="2"/>
      <c r="J516" s="10"/>
      <c r="K516" s="2"/>
      <c r="L516" s="11"/>
      <c r="M516" s="2"/>
      <c r="N516" s="11"/>
      <c r="O516" s="2"/>
      <c r="P516" s="11"/>
      <c r="R516" s="2"/>
    </row>
    <row r="517" spans="1:18" x14ac:dyDescent="0.25">
      <c r="A517" t="s">
        <v>5</v>
      </c>
      <c r="B517" t="s">
        <v>5</v>
      </c>
      <c r="C517" s="1" t="s">
        <v>379</v>
      </c>
      <c r="D517" s="8">
        <f>SUM(D476:D515)</f>
        <v>926594</v>
      </c>
      <c r="E517" s="2"/>
      <c r="F517" s="15">
        <f>H517/J517</f>
        <v>-3.5517260043550852E-2</v>
      </c>
      <c r="G517" s="2"/>
      <c r="H517" s="8">
        <f>SUM(H476:H515)</f>
        <v>-34122</v>
      </c>
      <c r="I517" s="2"/>
      <c r="J517" s="8">
        <f>SUM(J476:J515)</f>
        <v>960716</v>
      </c>
      <c r="K517" s="2"/>
      <c r="L517" s="15">
        <f>N517/P517</f>
        <v>9.2159591109170935E-2</v>
      </c>
      <c r="M517" s="2"/>
      <c r="N517" s="8">
        <f>SUM(N476:N515)</f>
        <v>81068</v>
      </c>
      <c r="O517" s="2"/>
      <c r="P517" s="8">
        <f>SUM(P476:P515)</f>
        <v>879648</v>
      </c>
      <c r="R517" s="2"/>
    </row>
    <row r="518" spans="1:18" x14ac:dyDescent="0.25">
      <c r="D518" s="2"/>
      <c r="E518" s="2"/>
      <c r="F518" s="2"/>
      <c r="G518" s="2"/>
      <c r="H518" s="2"/>
      <c r="I518" s="2"/>
      <c r="J518" s="2"/>
      <c r="K518" s="2"/>
      <c r="M518" s="2"/>
      <c r="O518" s="2"/>
      <c r="R518" s="2"/>
    </row>
    <row r="519" spans="1:18" x14ac:dyDescent="0.25">
      <c r="A519" t="s">
        <v>261</v>
      </c>
      <c r="B519" t="s">
        <v>262</v>
      </c>
      <c r="C519" t="s">
        <v>263</v>
      </c>
      <c r="D519" s="47">
        <v>50000</v>
      </c>
      <c r="E519" s="2"/>
      <c r="F519" s="37">
        <f t="shared" ref="F519:F524" si="108">H519/J519</f>
        <v>0.1111111111111111</v>
      </c>
      <c r="G519" s="2"/>
      <c r="H519" s="12">
        <f t="shared" ref="H519:H524" si="109">D519-J519</f>
        <v>5000</v>
      </c>
      <c r="I519" s="2"/>
      <c r="J519" s="16">
        <v>45000</v>
      </c>
      <c r="K519" s="2"/>
      <c r="L519" s="13">
        <f t="shared" ref="L519:L523" si="110">N519/P519</f>
        <v>0</v>
      </c>
      <c r="M519" s="2"/>
      <c r="N519" s="12">
        <f t="shared" ref="N519:N524" si="111">J519-P519</f>
        <v>0</v>
      </c>
      <c r="O519" s="2"/>
      <c r="P519" s="12">
        <v>45000</v>
      </c>
      <c r="R519" s="2"/>
    </row>
    <row r="520" spans="1:18" x14ac:dyDescent="0.25">
      <c r="A520" t="s">
        <v>261</v>
      </c>
      <c r="B520" t="s">
        <v>264</v>
      </c>
      <c r="C520" t="s">
        <v>265</v>
      </c>
      <c r="D520" s="47">
        <v>2000</v>
      </c>
      <c r="E520" s="2"/>
      <c r="F520" s="37">
        <f t="shared" si="108"/>
        <v>0</v>
      </c>
      <c r="G520" s="2"/>
      <c r="H520" s="12">
        <f t="shared" si="109"/>
        <v>0</v>
      </c>
      <c r="I520" s="2"/>
      <c r="J520" s="16">
        <v>2000</v>
      </c>
      <c r="K520" s="2"/>
      <c r="L520" s="13">
        <f t="shared" si="110"/>
        <v>0</v>
      </c>
      <c r="M520" s="2"/>
      <c r="N520" s="12">
        <f t="shared" si="111"/>
        <v>0</v>
      </c>
      <c r="O520" s="2"/>
      <c r="P520" s="12">
        <v>2000</v>
      </c>
      <c r="R520" s="2"/>
    </row>
    <row r="521" spans="1:18" x14ac:dyDescent="0.25">
      <c r="A521" t="s">
        <v>261</v>
      </c>
      <c r="B521" t="s">
        <v>266</v>
      </c>
      <c r="C521" t="s">
        <v>267</v>
      </c>
      <c r="D521" s="47">
        <v>1000</v>
      </c>
      <c r="E521" s="2"/>
      <c r="F521" s="37">
        <f t="shared" si="108"/>
        <v>0</v>
      </c>
      <c r="G521" s="2"/>
      <c r="H521" s="12">
        <f t="shared" si="109"/>
        <v>0</v>
      </c>
      <c r="I521" s="2"/>
      <c r="J521" s="16">
        <v>1000</v>
      </c>
      <c r="K521" s="2"/>
      <c r="L521" s="13">
        <f t="shared" si="110"/>
        <v>0</v>
      </c>
      <c r="M521" s="2"/>
      <c r="N521" s="12">
        <f t="shared" si="111"/>
        <v>0</v>
      </c>
      <c r="O521" s="2"/>
      <c r="P521" s="12">
        <v>1000</v>
      </c>
      <c r="R521" s="2"/>
    </row>
    <row r="522" spans="1:18" x14ac:dyDescent="0.25">
      <c r="A522" t="s">
        <v>261</v>
      </c>
      <c r="B522" t="s">
        <v>268</v>
      </c>
      <c r="C522" t="s">
        <v>269</v>
      </c>
      <c r="D522" s="47">
        <v>2800</v>
      </c>
      <c r="E522" s="2"/>
      <c r="F522" s="37">
        <f t="shared" si="108"/>
        <v>0</v>
      </c>
      <c r="G522" s="2"/>
      <c r="H522" s="12">
        <f t="shared" si="109"/>
        <v>0</v>
      </c>
      <c r="I522" s="2"/>
      <c r="J522" s="16">
        <v>2800</v>
      </c>
      <c r="K522" s="2"/>
      <c r="L522" s="13">
        <f t="shared" si="110"/>
        <v>0</v>
      </c>
      <c r="M522" s="2"/>
      <c r="N522" s="12">
        <f t="shared" si="111"/>
        <v>0</v>
      </c>
      <c r="O522" s="2"/>
      <c r="P522" s="12">
        <v>2800</v>
      </c>
      <c r="R522" s="2"/>
    </row>
    <row r="523" spans="1:18" x14ac:dyDescent="0.25">
      <c r="A523" t="s">
        <v>261</v>
      </c>
      <c r="B523" t="s">
        <v>270</v>
      </c>
      <c r="C523" t="s">
        <v>271</v>
      </c>
      <c r="D523" s="47">
        <v>8879</v>
      </c>
      <c r="E523" s="2"/>
      <c r="F523" s="37">
        <f t="shared" si="108"/>
        <v>0</v>
      </c>
      <c r="G523" s="2"/>
      <c r="H523" s="12">
        <f t="shared" si="109"/>
        <v>0</v>
      </c>
      <c r="I523" s="2"/>
      <c r="J523" s="16">
        <v>8879</v>
      </c>
      <c r="K523" s="2"/>
      <c r="L523" s="13">
        <f t="shared" si="110"/>
        <v>2.2101991481524117E-2</v>
      </c>
      <c r="M523" s="2"/>
      <c r="N523" s="12">
        <f t="shared" si="111"/>
        <v>192</v>
      </c>
      <c r="O523" s="2"/>
      <c r="P523" s="12">
        <v>8687</v>
      </c>
      <c r="R523" s="2"/>
    </row>
    <row r="524" spans="1:18" x14ac:dyDescent="0.25">
      <c r="A524" t="s">
        <v>261</v>
      </c>
      <c r="B524" t="s">
        <v>390</v>
      </c>
      <c r="C524" t="s">
        <v>391</v>
      </c>
      <c r="D524" s="47">
        <v>500</v>
      </c>
      <c r="E524" s="2"/>
      <c r="F524" s="37">
        <f t="shared" si="108"/>
        <v>0</v>
      </c>
      <c r="G524" s="2"/>
      <c r="H524" s="12">
        <f t="shared" si="109"/>
        <v>0</v>
      </c>
      <c r="I524" s="2"/>
      <c r="J524" s="16">
        <v>500</v>
      </c>
      <c r="K524" s="2"/>
      <c r="L524" s="13">
        <v>1</v>
      </c>
      <c r="M524" s="2"/>
      <c r="N524" s="12">
        <f t="shared" si="111"/>
        <v>500</v>
      </c>
      <c r="O524" s="2"/>
      <c r="P524" s="12">
        <v>0</v>
      </c>
      <c r="R524" s="2"/>
    </row>
    <row r="525" spans="1:18" x14ac:dyDescent="0.25">
      <c r="D525" s="2"/>
      <c r="E525" s="2"/>
      <c r="F525" s="2"/>
      <c r="G525" s="2"/>
      <c r="H525" s="2"/>
      <c r="I525" s="2"/>
      <c r="J525" s="2"/>
      <c r="K525" s="2"/>
      <c r="M525" s="2"/>
      <c r="O525" s="2"/>
      <c r="R525" s="2"/>
    </row>
    <row r="526" spans="1:18" x14ac:dyDescent="0.25">
      <c r="A526" t="s">
        <v>5</v>
      </c>
      <c r="B526" t="s">
        <v>5</v>
      </c>
      <c r="C526" s="1" t="s">
        <v>378</v>
      </c>
      <c r="D526" s="8">
        <f>SUM(D519:D524)</f>
        <v>65179</v>
      </c>
      <c r="E526" s="2"/>
      <c r="F526" s="15">
        <f>H526/J526</f>
        <v>8.3085461705910704E-2</v>
      </c>
      <c r="G526" s="2"/>
      <c r="H526" s="8">
        <f>SUM(H519:H524)</f>
        <v>5000</v>
      </c>
      <c r="I526" s="2"/>
      <c r="J526" s="8">
        <f>SUM(J519:J524)</f>
        <v>60179</v>
      </c>
      <c r="K526" s="2"/>
      <c r="L526" s="15">
        <f>N526/P526</f>
        <v>3.2275959453325937E-3</v>
      </c>
      <c r="M526" s="2"/>
      <c r="N526" s="8">
        <f>SUM(N519:N523)</f>
        <v>192</v>
      </c>
      <c r="O526" s="2"/>
      <c r="P526" s="8">
        <f>SUM(P519:P524)</f>
        <v>59487</v>
      </c>
      <c r="R526" s="2"/>
    </row>
    <row r="527" spans="1:18" x14ac:dyDescent="0.25">
      <c r="D527" s="2"/>
      <c r="E527" s="2"/>
      <c r="F527" s="2"/>
      <c r="G527" s="2"/>
      <c r="H527" s="2"/>
      <c r="I527" s="2"/>
      <c r="J527" s="2"/>
      <c r="K527" s="2"/>
      <c r="M527" s="2"/>
      <c r="O527" s="2"/>
      <c r="R527" s="2"/>
    </row>
    <row r="528" spans="1:18" x14ac:dyDescent="0.25">
      <c r="A528" t="s">
        <v>272</v>
      </c>
      <c r="B528" t="s">
        <v>57</v>
      </c>
      <c r="C528" t="s">
        <v>58</v>
      </c>
      <c r="D528" s="47">
        <f>ROUNDUP((76783.62),0)</f>
        <v>76784</v>
      </c>
      <c r="E528" s="2"/>
      <c r="F528" s="37">
        <f t="shared" ref="F528:F542" si="112">H528/J528</f>
        <v>0</v>
      </c>
      <c r="G528" s="2"/>
      <c r="H528" s="12">
        <f t="shared" ref="H528:H542" si="113">D528-J528</f>
        <v>0</v>
      </c>
      <c r="I528" s="2"/>
      <c r="J528" s="16">
        <f>ROUNDUP((76783.62),0)</f>
        <v>76784</v>
      </c>
      <c r="K528" s="2"/>
      <c r="L528" s="13">
        <f t="shared" ref="L528:L542" si="114">N528/P528</f>
        <v>2.9883577445141907E-2</v>
      </c>
      <c r="M528" s="2"/>
      <c r="N528" s="12">
        <f t="shared" ref="N528:N542" si="115">J528-P528</f>
        <v>2228</v>
      </c>
      <c r="O528" s="2"/>
      <c r="P528" s="9">
        <v>74556</v>
      </c>
      <c r="Q528" t="s">
        <v>355</v>
      </c>
      <c r="R528" s="2"/>
    </row>
    <row r="529" spans="1:18" x14ac:dyDescent="0.25">
      <c r="A529" t="s">
        <v>272</v>
      </c>
      <c r="B529" t="s">
        <v>34</v>
      </c>
      <c r="C529" t="s">
        <v>35</v>
      </c>
      <c r="D529" s="47">
        <f>ROUNDUP((58.8),0)</f>
        <v>59</v>
      </c>
      <c r="E529" s="2"/>
      <c r="F529" s="37">
        <f t="shared" si="112"/>
        <v>0</v>
      </c>
      <c r="G529" s="2"/>
      <c r="H529" s="12">
        <f t="shared" si="113"/>
        <v>0</v>
      </c>
      <c r="I529" s="2"/>
      <c r="J529" s="16">
        <f>ROUNDUP((58.8),0)</f>
        <v>59</v>
      </c>
      <c r="K529" s="2"/>
      <c r="L529" s="13">
        <f t="shared" si="114"/>
        <v>-0.21333333333333335</v>
      </c>
      <c r="M529" s="2"/>
      <c r="N529" s="12">
        <f t="shared" si="115"/>
        <v>-16</v>
      </c>
      <c r="O529" s="2"/>
      <c r="P529" s="9">
        <v>75</v>
      </c>
      <c r="R529" s="2"/>
    </row>
    <row r="530" spans="1:18" x14ac:dyDescent="0.25">
      <c r="A530" t="s">
        <v>272</v>
      </c>
      <c r="B530" t="s">
        <v>9</v>
      </c>
      <c r="C530" t="s">
        <v>10</v>
      </c>
      <c r="D530" s="47">
        <f>ROUNDUP((359.22),0)</f>
        <v>360</v>
      </c>
      <c r="E530" s="2"/>
      <c r="F530" s="37">
        <f t="shared" si="112"/>
        <v>0</v>
      </c>
      <c r="G530" s="2"/>
      <c r="H530" s="12">
        <f t="shared" si="113"/>
        <v>0</v>
      </c>
      <c r="I530" s="2"/>
      <c r="J530" s="16">
        <f>ROUNDUP((359.22),0)</f>
        <v>360</v>
      </c>
      <c r="K530" s="2"/>
      <c r="L530" s="13">
        <f t="shared" si="114"/>
        <v>0.68224299065420557</v>
      </c>
      <c r="M530" s="2"/>
      <c r="N530" s="12">
        <f t="shared" si="115"/>
        <v>146</v>
      </c>
      <c r="O530" s="2"/>
      <c r="P530" s="9">
        <v>214</v>
      </c>
      <c r="R530" s="2"/>
    </row>
    <row r="531" spans="1:18" x14ac:dyDescent="0.25">
      <c r="A531" t="s">
        <v>272</v>
      </c>
      <c r="B531" t="s">
        <v>36</v>
      </c>
      <c r="C531" t="s">
        <v>37</v>
      </c>
      <c r="D531" s="47">
        <f>ROUNDUP((7831.93),0)</f>
        <v>7832</v>
      </c>
      <c r="E531" s="2"/>
      <c r="F531" s="37">
        <f t="shared" si="112"/>
        <v>0</v>
      </c>
      <c r="G531" s="2"/>
      <c r="H531" s="12">
        <f t="shared" si="113"/>
        <v>0</v>
      </c>
      <c r="I531" s="2"/>
      <c r="J531" s="16">
        <f>ROUNDUP((7831.93),0)</f>
        <v>7832</v>
      </c>
      <c r="K531" s="2"/>
      <c r="L531" s="13">
        <f t="shared" si="114"/>
        <v>2.9848783694937542E-2</v>
      </c>
      <c r="M531" s="2"/>
      <c r="N531" s="12">
        <f t="shared" si="115"/>
        <v>227</v>
      </c>
      <c r="O531" s="2"/>
      <c r="P531" s="9">
        <v>7605</v>
      </c>
      <c r="R531" s="2"/>
    </row>
    <row r="532" spans="1:18" x14ac:dyDescent="0.25">
      <c r="A532" t="s">
        <v>272</v>
      </c>
      <c r="B532" t="s">
        <v>38</v>
      </c>
      <c r="C532" t="s">
        <v>39</v>
      </c>
      <c r="D532" s="47">
        <f>ROUNDUP((3230.47),0)</f>
        <v>3231</v>
      </c>
      <c r="E532" s="2"/>
      <c r="F532" s="37">
        <f t="shared" si="112"/>
        <v>0</v>
      </c>
      <c r="G532" s="2"/>
      <c r="H532" s="12">
        <f t="shared" si="113"/>
        <v>0</v>
      </c>
      <c r="I532" s="2"/>
      <c r="J532" s="16">
        <f>ROUNDUP((3230.47),0)</f>
        <v>3231</v>
      </c>
      <c r="K532" s="2"/>
      <c r="L532" s="13">
        <f t="shared" si="114"/>
        <v>3.0293367346938774E-2</v>
      </c>
      <c r="M532" s="2"/>
      <c r="N532" s="12">
        <f t="shared" si="115"/>
        <v>95</v>
      </c>
      <c r="O532" s="2"/>
      <c r="P532" s="9">
        <v>3136</v>
      </c>
      <c r="R532" s="2"/>
    </row>
    <row r="533" spans="1:18" x14ac:dyDescent="0.25">
      <c r="A533" t="s">
        <v>272</v>
      </c>
      <c r="B533" t="s">
        <v>11</v>
      </c>
      <c r="C533" t="s">
        <v>12</v>
      </c>
      <c r="D533" s="47">
        <f>ROUNDUP((5873.95),0)</f>
        <v>5874</v>
      </c>
      <c r="E533" s="2"/>
      <c r="F533" s="37">
        <f t="shared" si="112"/>
        <v>0</v>
      </c>
      <c r="G533" s="2"/>
      <c r="H533" s="12">
        <f t="shared" si="113"/>
        <v>0</v>
      </c>
      <c r="I533" s="2"/>
      <c r="J533" s="16">
        <f>ROUNDUP((5873.95),0)</f>
        <v>5874</v>
      </c>
      <c r="K533" s="2"/>
      <c r="L533" s="13">
        <f t="shared" si="114"/>
        <v>2.9984218832193581E-2</v>
      </c>
      <c r="M533" s="2"/>
      <c r="N533" s="12">
        <f t="shared" si="115"/>
        <v>171</v>
      </c>
      <c r="O533" s="2"/>
      <c r="P533" s="9">
        <v>5703</v>
      </c>
      <c r="R533" s="2"/>
    </row>
    <row r="534" spans="1:18" x14ac:dyDescent="0.25">
      <c r="A534" t="s">
        <v>272</v>
      </c>
      <c r="B534" t="s">
        <v>15</v>
      </c>
      <c r="C534" t="s">
        <v>16</v>
      </c>
      <c r="D534" s="47">
        <v>9000</v>
      </c>
      <c r="E534" s="2"/>
      <c r="F534" s="37">
        <f t="shared" si="112"/>
        <v>0</v>
      </c>
      <c r="G534" s="2"/>
      <c r="H534" s="12">
        <f t="shared" si="113"/>
        <v>0</v>
      </c>
      <c r="I534" s="2"/>
      <c r="J534" s="16">
        <v>9000</v>
      </c>
      <c r="K534" s="2"/>
      <c r="L534" s="13">
        <f t="shared" si="114"/>
        <v>1.1428571428571428</v>
      </c>
      <c r="M534" s="2"/>
      <c r="N534" s="12">
        <f t="shared" si="115"/>
        <v>4800</v>
      </c>
      <c r="O534" s="2"/>
      <c r="P534" s="9">
        <v>4200</v>
      </c>
      <c r="R534" s="2"/>
    </row>
    <row r="535" spans="1:18" x14ac:dyDescent="0.25">
      <c r="A535" t="s">
        <v>272</v>
      </c>
      <c r="B535" t="s">
        <v>19</v>
      </c>
      <c r="C535" t="s">
        <v>20</v>
      </c>
      <c r="D535" s="47">
        <v>500</v>
      </c>
      <c r="E535" s="2"/>
      <c r="F535" s="37">
        <f t="shared" si="112"/>
        <v>0</v>
      </c>
      <c r="G535" s="2"/>
      <c r="H535" s="12">
        <f t="shared" si="113"/>
        <v>0</v>
      </c>
      <c r="I535" s="2"/>
      <c r="J535" s="16">
        <v>500</v>
      </c>
      <c r="K535" s="2"/>
      <c r="L535" s="13">
        <f t="shared" si="114"/>
        <v>0.66666666666666663</v>
      </c>
      <c r="M535" s="2"/>
      <c r="N535" s="12">
        <f t="shared" si="115"/>
        <v>200</v>
      </c>
      <c r="O535" s="2"/>
      <c r="P535" s="9">
        <v>300</v>
      </c>
      <c r="R535" s="2"/>
    </row>
    <row r="536" spans="1:18" x14ac:dyDescent="0.25">
      <c r="A536" t="s">
        <v>272</v>
      </c>
      <c r="B536" t="s">
        <v>21</v>
      </c>
      <c r="C536" t="s">
        <v>22</v>
      </c>
      <c r="D536" s="47">
        <v>10100</v>
      </c>
      <c r="E536" s="2"/>
      <c r="F536" s="37">
        <f t="shared" si="112"/>
        <v>0</v>
      </c>
      <c r="G536" s="2"/>
      <c r="H536" s="12">
        <f t="shared" si="113"/>
        <v>0</v>
      </c>
      <c r="I536" s="2"/>
      <c r="J536" s="16">
        <v>10100</v>
      </c>
      <c r="K536" s="2"/>
      <c r="L536" s="13">
        <f t="shared" si="114"/>
        <v>0.68333333333333335</v>
      </c>
      <c r="M536" s="2"/>
      <c r="N536" s="12">
        <f t="shared" si="115"/>
        <v>4100</v>
      </c>
      <c r="O536" s="2"/>
      <c r="P536" s="9">
        <v>6000</v>
      </c>
      <c r="R536" s="2"/>
    </row>
    <row r="537" spans="1:18" x14ac:dyDescent="0.25">
      <c r="A537" t="s">
        <v>272</v>
      </c>
      <c r="B537" t="s">
        <v>40</v>
      </c>
      <c r="C537" t="s">
        <v>41</v>
      </c>
      <c r="D537" s="47">
        <v>695</v>
      </c>
      <c r="E537" s="2"/>
      <c r="F537" s="37">
        <f t="shared" si="112"/>
        <v>0</v>
      </c>
      <c r="G537" s="2"/>
      <c r="H537" s="12">
        <f t="shared" si="113"/>
        <v>0</v>
      </c>
      <c r="I537" s="2"/>
      <c r="J537" s="16">
        <v>695</v>
      </c>
      <c r="K537" s="2"/>
      <c r="L537" s="13">
        <f t="shared" si="114"/>
        <v>0</v>
      </c>
      <c r="M537" s="2"/>
      <c r="N537" s="12">
        <f t="shared" si="115"/>
        <v>0</v>
      </c>
      <c r="O537" s="2"/>
      <c r="P537" s="9">
        <v>695</v>
      </c>
      <c r="R537" s="2"/>
    </row>
    <row r="538" spans="1:18" x14ac:dyDescent="0.25">
      <c r="A538" t="s">
        <v>272</v>
      </c>
      <c r="B538" t="s">
        <v>23</v>
      </c>
      <c r="C538" t="s">
        <v>273</v>
      </c>
      <c r="D538" s="47">
        <v>3500</v>
      </c>
      <c r="E538" s="2"/>
      <c r="F538" s="37">
        <f t="shared" si="112"/>
        <v>0</v>
      </c>
      <c r="G538" s="2"/>
      <c r="H538" s="12">
        <f t="shared" si="113"/>
        <v>0</v>
      </c>
      <c r="I538" s="2"/>
      <c r="J538" s="16">
        <v>3500</v>
      </c>
      <c r="K538" s="2"/>
      <c r="L538" s="13">
        <f t="shared" si="114"/>
        <v>0</v>
      </c>
      <c r="M538" s="2"/>
      <c r="N538" s="12">
        <f t="shared" si="115"/>
        <v>0</v>
      </c>
      <c r="O538" s="2"/>
      <c r="P538" s="9">
        <v>3500</v>
      </c>
      <c r="R538" s="2"/>
    </row>
    <row r="539" spans="1:18" x14ac:dyDescent="0.25">
      <c r="A539" t="s">
        <v>272</v>
      </c>
      <c r="B539" t="s">
        <v>42</v>
      </c>
      <c r="C539" t="s">
        <v>43</v>
      </c>
      <c r="D539" s="47">
        <v>2500</v>
      </c>
      <c r="E539" s="2"/>
      <c r="F539" s="37">
        <f t="shared" si="112"/>
        <v>0</v>
      </c>
      <c r="G539" s="2"/>
      <c r="H539" s="12">
        <f t="shared" si="113"/>
        <v>0</v>
      </c>
      <c r="I539" s="2"/>
      <c r="J539" s="16">
        <v>2500</v>
      </c>
      <c r="K539" s="2"/>
      <c r="L539" s="13">
        <f t="shared" si="114"/>
        <v>0.1111111111111111</v>
      </c>
      <c r="M539" s="2"/>
      <c r="N539" s="12">
        <f t="shared" si="115"/>
        <v>250</v>
      </c>
      <c r="O539" s="2"/>
      <c r="P539" s="9">
        <v>2250</v>
      </c>
      <c r="R539" s="2"/>
    </row>
    <row r="540" spans="1:18" x14ac:dyDescent="0.25">
      <c r="A540" t="s">
        <v>272</v>
      </c>
      <c r="B540" t="s">
        <v>274</v>
      </c>
      <c r="C540" t="s">
        <v>275</v>
      </c>
      <c r="D540" s="47">
        <v>10810</v>
      </c>
      <c r="E540" s="2"/>
      <c r="F540" s="37">
        <f t="shared" si="112"/>
        <v>0</v>
      </c>
      <c r="G540" s="2"/>
      <c r="H540" s="12">
        <f t="shared" si="113"/>
        <v>0</v>
      </c>
      <c r="I540" s="2"/>
      <c r="J540" s="16">
        <v>10810</v>
      </c>
      <c r="K540" s="2"/>
      <c r="L540" s="13">
        <f t="shared" si="114"/>
        <v>3.28683355627747E-2</v>
      </c>
      <c r="M540" s="2"/>
      <c r="N540" s="12">
        <f t="shared" si="115"/>
        <v>344</v>
      </c>
      <c r="O540" s="2"/>
      <c r="P540" s="9">
        <v>10466</v>
      </c>
      <c r="R540" s="2"/>
    </row>
    <row r="541" spans="1:18" x14ac:dyDescent="0.25">
      <c r="A541" t="s">
        <v>272</v>
      </c>
      <c r="B541" t="s">
        <v>65</v>
      </c>
      <c r="C541" t="s">
        <v>276</v>
      </c>
      <c r="D541" s="47">
        <v>1200</v>
      </c>
      <c r="E541" s="2"/>
      <c r="F541" s="37">
        <f t="shared" si="112"/>
        <v>0</v>
      </c>
      <c r="G541" s="2"/>
      <c r="H541" s="12">
        <f t="shared" si="113"/>
        <v>0</v>
      </c>
      <c r="I541" s="2"/>
      <c r="J541" s="16">
        <v>1200</v>
      </c>
      <c r="K541" s="2"/>
      <c r="L541" s="13">
        <f t="shared" si="114"/>
        <v>1.2857142857142858</v>
      </c>
      <c r="M541" s="2"/>
      <c r="N541" s="12">
        <f t="shared" si="115"/>
        <v>675</v>
      </c>
      <c r="O541" s="2"/>
      <c r="P541" s="9">
        <v>525</v>
      </c>
      <c r="R541" s="2"/>
    </row>
    <row r="542" spans="1:18" x14ac:dyDescent="0.25">
      <c r="A542" t="s">
        <v>272</v>
      </c>
      <c r="B542" t="s">
        <v>44</v>
      </c>
      <c r="C542" t="s">
        <v>45</v>
      </c>
      <c r="D542" s="47">
        <v>5500</v>
      </c>
      <c r="E542" s="2"/>
      <c r="F542" s="37">
        <f t="shared" si="112"/>
        <v>0</v>
      </c>
      <c r="G542" s="2"/>
      <c r="H542" s="12">
        <f t="shared" si="113"/>
        <v>0</v>
      </c>
      <c r="I542" s="2"/>
      <c r="J542" s="16">
        <v>5500</v>
      </c>
      <c r="K542" s="2"/>
      <c r="L542" s="13">
        <f t="shared" si="114"/>
        <v>4.2380952380952381</v>
      </c>
      <c r="M542" s="2"/>
      <c r="N542" s="12">
        <f t="shared" si="115"/>
        <v>4450</v>
      </c>
      <c r="O542" s="2"/>
      <c r="P542" s="9">
        <v>1050</v>
      </c>
      <c r="R542" s="2"/>
    </row>
    <row r="543" spans="1:18" x14ac:dyDescent="0.25">
      <c r="D543" s="2"/>
      <c r="E543" s="2"/>
      <c r="F543" s="2"/>
      <c r="G543" s="2"/>
      <c r="H543" s="2"/>
      <c r="I543" s="2"/>
      <c r="J543" s="2"/>
      <c r="K543" s="2"/>
      <c r="M543" s="2"/>
      <c r="O543" s="2"/>
      <c r="R543" s="2"/>
    </row>
    <row r="544" spans="1:18" x14ac:dyDescent="0.25">
      <c r="A544" t="s">
        <v>5</v>
      </c>
      <c r="B544" t="s">
        <v>5</v>
      </c>
      <c r="C544" s="1" t="s">
        <v>377</v>
      </c>
      <c r="D544" s="8">
        <f>SUM(D528:D542)</f>
        <v>137945</v>
      </c>
      <c r="E544" s="2"/>
      <c r="F544" s="15">
        <f>H544/J544</f>
        <v>0</v>
      </c>
      <c r="G544" s="2"/>
      <c r="H544" s="8">
        <f>SUM(H528:H542)</f>
        <v>0</v>
      </c>
      <c r="I544" s="2"/>
      <c r="J544" s="8">
        <f>SUM(J528:J542)</f>
        <v>137945</v>
      </c>
      <c r="K544" s="2"/>
      <c r="L544" s="15">
        <f>N544/P544</f>
        <v>0.14691332363334025</v>
      </c>
      <c r="M544" s="2"/>
      <c r="N544" s="8">
        <f>SUM(N528:N542)</f>
        <v>17670</v>
      </c>
      <c r="O544" s="2"/>
      <c r="P544" s="8">
        <f>SUM(P528:P542)</f>
        <v>120275</v>
      </c>
      <c r="R544" s="2"/>
    </row>
    <row r="545" spans="1:18" x14ac:dyDescent="0.25">
      <c r="D545" s="2"/>
      <c r="E545" s="2"/>
      <c r="F545" s="2"/>
      <c r="G545" s="2"/>
      <c r="H545" s="2"/>
      <c r="I545" s="2"/>
      <c r="J545" s="2"/>
      <c r="K545" s="2"/>
      <c r="M545" s="2"/>
      <c r="O545" s="2"/>
      <c r="P545" s="26"/>
      <c r="R545" s="2"/>
    </row>
    <row r="546" spans="1:18" x14ac:dyDescent="0.25">
      <c r="C546" s="1" t="s">
        <v>407</v>
      </c>
      <c r="D546" s="17">
        <f>D544+D526+D517+D474+D452+D445+D412+D402+D349+D328+D308+D299+D264+D225+D212+D204</f>
        <v>12129523</v>
      </c>
      <c r="E546" s="2"/>
      <c r="F546" s="27">
        <f>H546/J546</f>
        <v>-5.6745325307285419E-2</v>
      </c>
      <c r="G546" s="2"/>
      <c r="H546" s="17">
        <f>H544+H526+H517+H474+H452+H445+H412+H402+H349+H328+H308+H299+H264+H225+H212+H204</f>
        <v>-729700.84</v>
      </c>
      <c r="I546" s="2"/>
      <c r="J546" s="17">
        <f>J544+J526+J517+J474+J452+J445+J412+J402+J349+J328+J308+J299+J264+J225+J212+J204</f>
        <v>12859223.84</v>
      </c>
      <c r="K546" s="2"/>
      <c r="L546" s="27">
        <f>N546/P546</f>
        <v>0.17480244869208028</v>
      </c>
      <c r="M546" s="2"/>
      <c r="N546" s="17">
        <f>N544+N526+N517+N474+N452+N445+N412+N402+N349+N328+N308+N299+N264+N225+N212+N204</f>
        <v>1913288.8399999999</v>
      </c>
      <c r="O546" s="2"/>
      <c r="P546" s="17">
        <f>P544+P526+P517+P474+P452+P445+P412+P402+P349+P328+P308+P299+P264+P225+P212+P204</f>
        <v>10945435</v>
      </c>
      <c r="R546" s="2"/>
    </row>
    <row r="547" spans="1:18" s="30" customFormat="1" x14ac:dyDescent="0.25">
      <c r="C547" s="31"/>
      <c r="D547" s="35"/>
      <c r="E547" s="25"/>
      <c r="F547" s="35"/>
      <c r="G547" s="25"/>
      <c r="H547" s="35"/>
      <c r="I547" s="25"/>
      <c r="J547" s="35"/>
      <c r="K547" s="25"/>
      <c r="L547" s="33"/>
      <c r="M547" s="25"/>
      <c r="N547" s="32"/>
      <c r="O547" s="25"/>
      <c r="P547" s="32"/>
      <c r="R547" s="25"/>
    </row>
    <row r="548" spans="1:18" x14ac:dyDescent="0.25">
      <c r="D548" s="2"/>
      <c r="E548" s="2"/>
      <c r="F548" s="2"/>
      <c r="G548" s="2"/>
      <c r="H548" s="2"/>
      <c r="I548" s="2"/>
      <c r="J548" s="2"/>
      <c r="K548" s="2"/>
      <c r="M548" s="2"/>
      <c r="O548" s="2"/>
      <c r="P548" s="26"/>
      <c r="R548" s="2"/>
    </row>
    <row r="549" spans="1:18" x14ac:dyDescent="0.25">
      <c r="A549" t="s">
        <v>277</v>
      </c>
      <c r="B549" t="s">
        <v>278</v>
      </c>
      <c r="C549" t="s">
        <v>279</v>
      </c>
      <c r="D549" s="47">
        <v>24144</v>
      </c>
      <c r="E549" s="2"/>
      <c r="F549" s="37">
        <f t="shared" ref="F549:F550" si="116">H549/J549</f>
        <v>-4.9701542238433779E-6</v>
      </c>
      <c r="G549" s="2"/>
      <c r="H549" s="12">
        <f t="shared" ref="H549:H550" si="117">D549-J549</f>
        <v>-0.11999999999898137</v>
      </c>
      <c r="I549" s="2"/>
      <c r="J549" s="16">
        <v>24144.12</v>
      </c>
      <c r="K549" s="2"/>
      <c r="L549" s="13">
        <f t="shared" ref="L549:L550" si="118">N549/P549</f>
        <v>5.0978104731641445E-2</v>
      </c>
      <c r="M549" s="2"/>
      <c r="N549" s="12">
        <f t="shared" ref="N549:N550" si="119">J549-P549</f>
        <v>1171.119999999999</v>
      </c>
      <c r="O549" s="2"/>
      <c r="P549" s="9">
        <v>22973</v>
      </c>
      <c r="R549" s="2"/>
    </row>
    <row r="550" spans="1:18" x14ac:dyDescent="0.25">
      <c r="A550" t="s">
        <v>277</v>
      </c>
      <c r="B550" t="s">
        <v>280</v>
      </c>
      <c r="C550" t="s">
        <v>281</v>
      </c>
      <c r="D550" s="47">
        <v>920550</v>
      </c>
      <c r="E550" s="2"/>
      <c r="F550" s="37">
        <f t="shared" si="116"/>
        <v>0</v>
      </c>
      <c r="G550" s="2"/>
      <c r="H550" s="12">
        <f t="shared" si="117"/>
        <v>0</v>
      </c>
      <c r="I550" s="2"/>
      <c r="J550" s="16">
        <v>920550</v>
      </c>
      <c r="K550" s="2"/>
      <c r="L550" s="13">
        <f t="shared" si="118"/>
        <v>0.10075189048801136</v>
      </c>
      <c r="M550" s="2"/>
      <c r="N550" s="12">
        <f t="shared" si="119"/>
        <v>84258</v>
      </c>
      <c r="O550" s="2"/>
      <c r="P550" s="9">
        <v>836292</v>
      </c>
      <c r="R550" s="2"/>
    </row>
    <row r="551" spans="1:18" x14ac:dyDescent="0.25">
      <c r="D551" s="2"/>
      <c r="E551" s="2"/>
      <c r="F551" s="2"/>
      <c r="G551" s="2"/>
      <c r="H551" s="2"/>
      <c r="I551" s="2"/>
      <c r="J551" s="2"/>
      <c r="K551" s="2"/>
      <c r="M551" s="2"/>
      <c r="O551" s="2"/>
      <c r="R551" s="2"/>
    </row>
    <row r="552" spans="1:18" x14ac:dyDescent="0.25">
      <c r="A552" t="s">
        <v>5</v>
      </c>
      <c r="B552" t="s">
        <v>5</v>
      </c>
      <c r="C552" s="1" t="s">
        <v>376</v>
      </c>
      <c r="D552" s="8">
        <f>SUM(D549:D550)</f>
        <v>944694</v>
      </c>
      <c r="E552" s="2"/>
      <c r="F552" s="15">
        <f>H552/J552</f>
        <v>-1.270252428362541E-7</v>
      </c>
      <c r="G552" s="2"/>
      <c r="H552" s="8">
        <f>SUM(H549:H550)</f>
        <v>-0.11999999999898137</v>
      </c>
      <c r="I552" s="2"/>
      <c r="J552" s="8">
        <f>SUM(J549:J550)</f>
        <v>944694.12</v>
      </c>
      <c r="K552" s="2"/>
      <c r="L552" s="15">
        <f>N552/P552</f>
        <v>9.9421156453480583E-2</v>
      </c>
      <c r="M552" s="2"/>
      <c r="N552" s="8">
        <f>SUM(N549:N550)</f>
        <v>85429.119999999995</v>
      </c>
      <c r="O552" s="2"/>
      <c r="P552" s="8">
        <f>SUM(P549:P550)</f>
        <v>859265</v>
      </c>
      <c r="R552" s="2"/>
    </row>
    <row r="553" spans="1:18" s="30" customFormat="1" x14ac:dyDescent="0.25">
      <c r="C553" s="31"/>
      <c r="D553" s="32"/>
      <c r="E553" s="25"/>
      <c r="F553" s="33"/>
      <c r="G553" s="25"/>
      <c r="H553" s="32"/>
      <c r="I553" s="25"/>
      <c r="J553" s="32"/>
      <c r="K553" s="25"/>
      <c r="L553" s="33"/>
      <c r="M553" s="25"/>
      <c r="N553" s="32"/>
      <c r="O553" s="25"/>
      <c r="P553" s="32"/>
      <c r="R553" s="25"/>
    </row>
    <row r="554" spans="1:18" s="30" customFormat="1" x14ac:dyDescent="0.25">
      <c r="C554" s="31" t="s">
        <v>441</v>
      </c>
      <c r="D554" s="49">
        <f>D544+D526+D517+D474+D452+D445+D412+D402+D349+D328+D308+D299+D264+D225+D212+D204</f>
        <v>12129523</v>
      </c>
      <c r="E554" s="25"/>
      <c r="F554" s="50">
        <f>H554/J554</f>
        <v>-5.6745325307285412E-2</v>
      </c>
      <c r="G554" s="25"/>
      <c r="H554" s="49">
        <f>D554-J554</f>
        <v>-729700.83999999985</v>
      </c>
      <c r="I554" s="25"/>
      <c r="J554" s="49">
        <f>J544+J526+J517+J474+J452+J445+J412+J402+J349+J328+J308+J299+J264+J225+J212+J204</f>
        <v>12859223.84</v>
      </c>
      <c r="K554" s="25"/>
      <c r="L554" s="32"/>
      <c r="M554" s="25"/>
      <c r="N554" s="32"/>
      <c r="O554" s="25"/>
      <c r="P554" s="32"/>
      <c r="R554" s="25"/>
    </row>
    <row r="555" spans="1:18" x14ac:dyDescent="0.25">
      <c r="D555" s="2"/>
      <c r="E555" s="2"/>
      <c r="F555" s="2"/>
      <c r="G555" s="2"/>
      <c r="H555" s="2"/>
      <c r="I555" s="2"/>
      <c r="J555" s="2"/>
      <c r="K555" s="2"/>
      <c r="M555" s="2"/>
      <c r="O555" s="2"/>
      <c r="R555" s="2"/>
    </row>
    <row r="556" spans="1:18" x14ac:dyDescent="0.25">
      <c r="A556" t="s">
        <v>282</v>
      </c>
      <c r="B556" t="s">
        <v>284</v>
      </c>
      <c r="C556" t="s">
        <v>285</v>
      </c>
      <c r="D556" s="47">
        <v>53040</v>
      </c>
      <c r="E556" s="2"/>
      <c r="F556" s="37">
        <f t="shared" ref="F556:F565" si="120">H556/J556</f>
        <v>0</v>
      </c>
      <c r="G556" s="2"/>
      <c r="H556" s="12">
        <f t="shared" ref="H556:H566" si="121">D556-J556</f>
        <v>0</v>
      </c>
      <c r="I556" s="2"/>
      <c r="J556" s="16">
        <v>53040</v>
      </c>
      <c r="K556" s="2"/>
      <c r="L556" s="13">
        <f t="shared" ref="L556:L565" si="122">N556/P556</f>
        <v>0</v>
      </c>
      <c r="M556" s="2"/>
      <c r="N556" s="12">
        <f t="shared" ref="N556:N566" si="123">J556-P556</f>
        <v>0</v>
      </c>
      <c r="O556" s="2"/>
      <c r="P556" s="12">
        <v>53040</v>
      </c>
      <c r="R556" s="2"/>
    </row>
    <row r="557" spans="1:18" x14ac:dyDescent="0.25">
      <c r="A557" t="s">
        <v>282</v>
      </c>
      <c r="B557" t="s">
        <v>286</v>
      </c>
      <c r="C557" t="s">
        <v>287</v>
      </c>
      <c r="D557" s="47">
        <f>ROUNDUP((43779.72),0)</f>
        <v>43780</v>
      </c>
      <c r="E557" s="2"/>
      <c r="F557" s="37">
        <f t="shared" si="120"/>
        <v>0</v>
      </c>
      <c r="G557" s="2"/>
      <c r="H557" s="12">
        <f t="shared" si="121"/>
        <v>0</v>
      </c>
      <c r="I557" s="2"/>
      <c r="J557" s="16">
        <f>ROUNDUP((43779.72),0)</f>
        <v>43780</v>
      </c>
      <c r="K557" s="2"/>
      <c r="L557" s="13">
        <f t="shared" si="122"/>
        <v>0</v>
      </c>
      <c r="M557" s="2"/>
      <c r="N557" s="12">
        <f t="shared" si="123"/>
        <v>0</v>
      </c>
      <c r="O557" s="2"/>
      <c r="P557" s="12">
        <v>43780</v>
      </c>
      <c r="R557" s="2"/>
    </row>
    <row r="558" spans="1:18" x14ac:dyDescent="0.25">
      <c r="A558" t="s">
        <v>282</v>
      </c>
      <c r="B558" t="s">
        <v>288</v>
      </c>
      <c r="C558" t="s">
        <v>289</v>
      </c>
      <c r="D558" s="47">
        <v>150000</v>
      </c>
      <c r="E558" s="2"/>
      <c r="F558" s="37">
        <f t="shared" si="120"/>
        <v>0</v>
      </c>
      <c r="G558" s="2"/>
      <c r="H558" s="12">
        <f t="shared" si="121"/>
        <v>0</v>
      </c>
      <c r="I558" s="2"/>
      <c r="J558" s="16">
        <v>150000</v>
      </c>
      <c r="K558" s="2"/>
      <c r="L558" s="13">
        <f t="shared" si="122"/>
        <v>0</v>
      </c>
      <c r="M558" s="2"/>
      <c r="N558" s="12">
        <f t="shared" si="123"/>
        <v>0</v>
      </c>
      <c r="O558" s="2"/>
      <c r="P558" s="12">
        <v>150000</v>
      </c>
      <c r="R558" s="2"/>
    </row>
    <row r="559" spans="1:18" x14ac:dyDescent="0.25">
      <c r="A559" t="s">
        <v>282</v>
      </c>
      <c r="B559" t="s">
        <v>290</v>
      </c>
      <c r="C559" t="s">
        <v>291</v>
      </c>
      <c r="D559" s="47">
        <v>150000</v>
      </c>
      <c r="E559" s="2"/>
      <c r="F559" s="37">
        <f t="shared" si="120"/>
        <v>0</v>
      </c>
      <c r="G559" s="2"/>
      <c r="H559" s="12">
        <f t="shared" si="121"/>
        <v>0</v>
      </c>
      <c r="I559" s="2"/>
      <c r="J559" s="16">
        <v>150000</v>
      </c>
      <c r="K559" s="2"/>
      <c r="L559" s="13">
        <f t="shared" si="122"/>
        <v>0</v>
      </c>
      <c r="M559" s="2"/>
      <c r="N559" s="12">
        <f t="shared" si="123"/>
        <v>0</v>
      </c>
      <c r="O559" s="2"/>
      <c r="P559" s="12">
        <v>150000</v>
      </c>
      <c r="R559" s="2"/>
    </row>
    <row r="560" spans="1:18" x14ac:dyDescent="0.25">
      <c r="A560" t="s">
        <v>282</v>
      </c>
      <c r="B560" t="s">
        <v>387</v>
      </c>
      <c r="C560" t="s">
        <v>394</v>
      </c>
      <c r="D560" s="47">
        <f>ROUNDUP((186666.67),0)</f>
        <v>186667</v>
      </c>
      <c r="E560" s="2"/>
      <c r="F560" s="37">
        <f t="shared" si="120"/>
        <v>0</v>
      </c>
      <c r="G560" s="2"/>
      <c r="H560" s="12">
        <f t="shared" si="121"/>
        <v>0</v>
      </c>
      <c r="I560" s="2"/>
      <c r="J560" s="16">
        <f>ROUNDUP((186666.67),0)</f>
        <v>186667</v>
      </c>
      <c r="K560" s="2"/>
      <c r="L560" s="13">
        <v>1</v>
      </c>
      <c r="M560" s="2"/>
      <c r="N560" s="12">
        <f t="shared" si="123"/>
        <v>186667</v>
      </c>
      <c r="O560" s="2"/>
      <c r="P560" s="12">
        <v>0</v>
      </c>
      <c r="R560" s="2"/>
    </row>
    <row r="561" spans="1:18" x14ac:dyDescent="0.25">
      <c r="A561" t="s">
        <v>282</v>
      </c>
      <c r="B561" t="s">
        <v>292</v>
      </c>
      <c r="C561" t="s">
        <v>293</v>
      </c>
      <c r="D561" s="47">
        <f>ROUNDUP((12924.93),0)</f>
        <v>12925</v>
      </c>
      <c r="E561" s="2"/>
      <c r="F561" s="37">
        <f t="shared" si="120"/>
        <v>0</v>
      </c>
      <c r="G561" s="2"/>
      <c r="H561" s="12">
        <f t="shared" si="121"/>
        <v>0</v>
      </c>
      <c r="I561" s="2"/>
      <c r="J561" s="16">
        <f>ROUNDUP((12924.93),0)</f>
        <v>12925</v>
      </c>
      <c r="K561" s="2"/>
      <c r="L561" s="13">
        <f t="shared" si="122"/>
        <v>-0.10578386605783865</v>
      </c>
      <c r="M561" s="2"/>
      <c r="N561" s="12">
        <f t="shared" si="123"/>
        <v>-1529</v>
      </c>
      <c r="O561" s="2"/>
      <c r="P561" s="12">
        <v>14454</v>
      </c>
      <c r="R561" s="2"/>
    </row>
    <row r="562" spans="1:18" x14ac:dyDescent="0.25">
      <c r="A562" t="s">
        <v>282</v>
      </c>
      <c r="B562" t="s">
        <v>294</v>
      </c>
      <c r="C562" t="s">
        <v>295</v>
      </c>
      <c r="D562" s="47">
        <f>ROUNDUP((13645.42),0)</f>
        <v>13646</v>
      </c>
      <c r="E562" s="2"/>
      <c r="F562" s="37">
        <f t="shared" si="120"/>
        <v>0</v>
      </c>
      <c r="G562" s="2"/>
      <c r="H562" s="12">
        <f t="shared" si="121"/>
        <v>0</v>
      </c>
      <c r="I562" s="2"/>
      <c r="J562" s="16">
        <f>ROUNDUP((13645.42),0)</f>
        <v>13646</v>
      </c>
      <c r="K562" s="2"/>
      <c r="L562" s="13">
        <f t="shared" si="122"/>
        <v>0</v>
      </c>
      <c r="M562" s="2"/>
      <c r="N562" s="12">
        <f t="shared" si="123"/>
        <v>0</v>
      </c>
      <c r="O562" s="2"/>
      <c r="P562" s="12">
        <v>13646</v>
      </c>
      <c r="R562" s="2"/>
    </row>
    <row r="563" spans="1:18" x14ac:dyDescent="0.25">
      <c r="A563" t="s">
        <v>282</v>
      </c>
      <c r="B563" t="s">
        <v>296</v>
      </c>
      <c r="C563" t="s">
        <v>297</v>
      </c>
      <c r="D563" s="47">
        <f>ROUNDUP((16612.5),0)</f>
        <v>16613</v>
      </c>
      <c r="E563" s="2"/>
      <c r="F563" s="37">
        <f t="shared" si="120"/>
        <v>0</v>
      </c>
      <c r="G563" s="2"/>
      <c r="H563" s="12">
        <f t="shared" si="121"/>
        <v>0</v>
      </c>
      <c r="I563" s="2"/>
      <c r="J563" s="16">
        <f>ROUNDUP((16612.5),0)</f>
        <v>16613</v>
      </c>
      <c r="K563" s="2"/>
      <c r="L563" s="13">
        <f t="shared" si="122"/>
        <v>-0.15489876894902838</v>
      </c>
      <c r="M563" s="2"/>
      <c r="N563" s="12">
        <f t="shared" si="123"/>
        <v>-3045</v>
      </c>
      <c r="O563" s="2"/>
      <c r="P563" s="12">
        <v>19658</v>
      </c>
      <c r="R563" s="2"/>
    </row>
    <row r="564" spans="1:18" x14ac:dyDescent="0.25">
      <c r="A564" t="s">
        <v>282</v>
      </c>
      <c r="B564" t="s">
        <v>298</v>
      </c>
      <c r="C564" t="s">
        <v>299</v>
      </c>
      <c r="D564" s="47">
        <v>17183</v>
      </c>
      <c r="E564" s="2"/>
      <c r="F564" s="37">
        <f t="shared" si="120"/>
        <v>-0.10262168372675998</v>
      </c>
      <c r="G564" s="2"/>
      <c r="H564" s="12">
        <f t="shared" si="121"/>
        <v>-1965</v>
      </c>
      <c r="I564" s="2"/>
      <c r="J564" s="16">
        <f>ROUNDUP((19147.5),0)</f>
        <v>19148</v>
      </c>
      <c r="K564" s="2"/>
      <c r="L564" s="13">
        <v>1</v>
      </c>
      <c r="M564" s="2"/>
      <c r="N564" s="12">
        <f t="shared" si="123"/>
        <v>19148</v>
      </c>
      <c r="O564" s="2"/>
      <c r="P564" s="12">
        <v>0</v>
      </c>
      <c r="R564" s="2"/>
    </row>
    <row r="565" spans="1:18" x14ac:dyDescent="0.25">
      <c r="A565" t="s">
        <v>282</v>
      </c>
      <c r="B565" t="s">
        <v>300</v>
      </c>
      <c r="C565" t="s">
        <v>301</v>
      </c>
      <c r="D565" s="47">
        <f>ROUNDUP((86772),0)</f>
        <v>86772</v>
      </c>
      <c r="E565" s="2"/>
      <c r="F565" s="37">
        <f t="shared" si="120"/>
        <v>0</v>
      </c>
      <c r="G565" s="2"/>
      <c r="H565" s="12">
        <f t="shared" si="121"/>
        <v>0</v>
      </c>
      <c r="I565" s="2"/>
      <c r="J565" s="16">
        <f>ROUNDUP((86772),0)</f>
        <v>86772</v>
      </c>
      <c r="K565" s="2"/>
      <c r="L565" s="13">
        <f t="shared" si="122"/>
        <v>2.5382870107770846E-2</v>
      </c>
      <c r="M565" s="2"/>
      <c r="N565" s="12">
        <f t="shared" si="123"/>
        <v>2148</v>
      </c>
      <c r="O565" s="2"/>
      <c r="P565" s="12">
        <v>84624</v>
      </c>
      <c r="R565" s="2"/>
    </row>
    <row r="566" spans="1:18" x14ac:dyDescent="0.25">
      <c r="A566" t="s">
        <v>282</v>
      </c>
      <c r="B566" t="s">
        <v>387</v>
      </c>
      <c r="C566" t="s">
        <v>434</v>
      </c>
      <c r="D566" s="47">
        <v>7500</v>
      </c>
      <c r="E566" s="2"/>
      <c r="F566" s="37">
        <v>1</v>
      </c>
      <c r="G566" s="2"/>
      <c r="H566" s="12">
        <f t="shared" si="121"/>
        <v>2500</v>
      </c>
      <c r="I566" s="2"/>
      <c r="J566" s="16">
        <v>5000</v>
      </c>
      <c r="K566" s="2"/>
      <c r="L566" s="13">
        <v>1</v>
      </c>
      <c r="M566" s="2"/>
      <c r="N566" s="12">
        <f t="shared" si="123"/>
        <v>5000</v>
      </c>
      <c r="O566" s="2"/>
      <c r="P566" s="12">
        <v>0</v>
      </c>
      <c r="R566" s="2"/>
    </row>
    <row r="567" spans="1:18" ht="120" x14ac:dyDescent="0.25">
      <c r="A567" s="1" t="s">
        <v>0</v>
      </c>
      <c r="B567" s="1" t="s">
        <v>1</v>
      </c>
      <c r="C567" s="1" t="s">
        <v>2</v>
      </c>
      <c r="D567" s="5" t="s">
        <v>337</v>
      </c>
      <c r="E567" s="1"/>
      <c r="F567" s="5" t="s">
        <v>409</v>
      </c>
      <c r="G567" s="1"/>
      <c r="H567" s="5" t="s">
        <v>410</v>
      </c>
      <c r="I567" s="1"/>
      <c r="J567" s="5" t="s">
        <v>336</v>
      </c>
      <c r="K567" s="1"/>
      <c r="L567" s="4" t="s">
        <v>344</v>
      </c>
      <c r="M567" s="1"/>
      <c r="N567" s="4" t="s">
        <v>342</v>
      </c>
      <c r="O567" s="1"/>
      <c r="P567" s="4" t="s">
        <v>335</v>
      </c>
      <c r="R567" s="1"/>
    </row>
    <row r="568" spans="1:18" x14ac:dyDescent="0.25">
      <c r="D568" s="2"/>
      <c r="E568" s="2"/>
      <c r="F568" s="2"/>
      <c r="G568" s="2"/>
      <c r="H568" s="2"/>
      <c r="I568" s="2"/>
      <c r="J568" s="2"/>
      <c r="K568" s="2"/>
      <c r="M568" s="2"/>
      <c r="O568" s="2"/>
      <c r="R568" s="2"/>
    </row>
    <row r="569" spans="1:18" x14ac:dyDescent="0.25">
      <c r="A569" t="s">
        <v>5</v>
      </c>
      <c r="B569" t="s">
        <v>5</v>
      </c>
      <c r="C569" s="1" t="s">
        <v>375</v>
      </c>
      <c r="D569" s="49">
        <f>SUM(D556:D566)</f>
        <v>738126</v>
      </c>
      <c r="E569" s="2"/>
      <c r="F569" s="50">
        <f>H569/J569</f>
        <v>7.2533422994586433E-4</v>
      </c>
      <c r="G569" s="2"/>
      <c r="H569" s="49">
        <f>SUM(H556:H566)</f>
        <v>535</v>
      </c>
      <c r="I569" s="2"/>
      <c r="J569" s="49">
        <f>SUM(J556:J566)</f>
        <v>737591</v>
      </c>
      <c r="K569" s="2"/>
      <c r="L569" s="50">
        <f>N569/P569</f>
        <v>0.39377969093087328</v>
      </c>
      <c r="M569" s="2"/>
      <c r="N569" s="49">
        <f>SUM(N556:N566)</f>
        <v>208389</v>
      </c>
      <c r="O569" s="2"/>
      <c r="P569" s="49">
        <f>SUM(P556:P566)</f>
        <v>529202</v>
      </c>
      <c r="R569" s="2"/>
    </row>
    <row r="570" spans="1:18" s="30" customFormat="1" x14ac:dyDescent="0.25">
      <c r="C570" s="31"/>
      <c r="D570" s="32"/>
      <c r="E570" s="25"/>
      <c r="F570" s="32"/>
      <c r="G570" s="25"/>
      <c r="H570" s="32"/>
      <c r="I570" s="25"/>
      <c r="J570" s="32"/>
      <c r="K570" s="25"/>
      <c r="L570" s="32"/>
      <c r="M570" s="25"/>
      <c r="N570" s="32"/>
      <c r="O570" s="25"/>
      <c r="P570" s="32"/>
      <c r="R570" s="25"/>
    </row>
    <row r="571" spans="1:18" s="30" customFormat="1" x14ac:dyDescent="0.25">
      <c r="C571" s="31"/>
      <c r="D571" s="32"/>
      <c r="E571" s="25"/>
      <c r="F571" s="32"/>
      <c r="G571" s="25"/>
      <c r="H571" s="32"/>
      <c r="I571" s="25"/>
      <c r="J571" s="32"/>
      <c r="K571" s="25"/>
      <c r="L571" s="32"/>
      <c r="M571" s="25"/>
      <c r="N571" s="32"/>
      <c r="O571" s="25"/>
      <c r="P571" s="32"/>
      <c r="R571" s="25"/>
    </row>
    <row r="572" spans="1:18" s="30" customFormat="1" ht="30" x14ac:dyDescent="0.25">
      <c r="C572" s="34" t="s">
        <v>452</v>
      </c>
      <c r="D572" s="49">
        <f>D554+D569</f>
        <v>12867649</v>
      </c>
      <c r="E572" s="25"/>
      <c r="F572" s="50">
        <f>H572/J572</f>
        <v>-5.014376169665407E-2</v>
      </c>
      <c r="G572" s="25"/>
      <c r="H572" s="49">
        <f>H569+H552+H546</f>
        <v>-729165.96</v>
      </c>
      <c r="I572" s="25"/>
      <c r="J572" s="49">
        <f>J569+J552+J546</f>
        <v>14541508.960000001</v>
      </c>
      <c r="K572" s="25"/>
      <c r="L572" s="50">
        <f>N572/P572</f>
        <v>0.17894636749992013</v>
      </c>
      <c r="M572" s="25"/>
      <c r="N572" s="49">
        <f>N569+N552+N546</f>
        <v>2207106.96</v>
      </c>
      <c r="O572" s="25"/>
      <c r="P572" s="49">
        <f>P569+P552+P546</f>
        <v>12333902</v>
      </c>
      <c r="R572" s="25"/>
    </row>
    <row r="573" spans="1:18" s="30" customFormat="1" x14ac:dyDescent="0.25">
      <c r="C573" s="34"/>
      <c r="D573" s="32"/>
      <c r="E573" s="25"/>
      <c r="F573" s="33"/>
      <c r="G573" s="25"/>
      <c r="H573" s="32"/>
      <c r="I573" s="25"/>
      <c r="J573" s="32"/>
      <c r="K573" s="25"/>
      <c r="L573" s="33"/>
      <c r="M573" s="25"/>
      <c r="N573" s="32"/>
      <c r="O573" s="25"/>
      <c r="P573" s="32"/>
      <c r="R573" s="25"/>
    </row>
    <row r="574" spans="1:18" s="30" customFormat="1" x14ac:dyDescent="0.25">
      <c r="D574" s="25"/>
      <c r="E574" s="25"/>
      <c r="F574" s="25"/>
      <c r="G574" s="25"/>
      <c r="H574" s="25"/>
      <c r="I574" s="25"/>
      <c r="J574" s="25"/>
      <c r="K574" s="25"/>
      <c r="L574" s="26"/>
      <c r="M574" s="25"/>
      <c r="N574" s="26"/>
      <c r="O574" s="25"/>
      <c r="P574" s="26"/>
      <c r="R574" s="25"/>
    </row>
    <row r="575" spans="1:18" x14ac:dyDescent="0.25">
      <c r="A575" t="s">
        <v>302</v>
      </c>
      <c r="B575" t="s">
        <v>57</v>
      </c>
      <c r="C575" t="s">
        <v>58</v>
      </c>
      <c r="D575" s="47">
        <f>ROUNDUP((99992.88),0)</f>
        <v>99993</v>
      </c>
      <c r="E575" s="2"/>
      <c r="F575" s="37">
        <f t="shared" ref="F575:F627" si="124">H575/J575</f>
        <v>5.0015751338863802E-2</v>
      </c>
      <c r="G575" s="2"/>
      <c r="H575" s="12">
        <f t="shared" ref="H575:H627" si="125">D575-J575</f>
        <v>4763</v>
      </c>
      <c r="I575" s="2"/>
      <c r="J575" s="16">
        <f>ROUNDUP((95229.68),0)</f>
        <v>95230</v>
      </c>
      <c r="K575" s="2"/>
      <c r="L575" s="13">
        <f t="shared" ref="L575:L627" si="126">N575/P575</f>
        <v>3.0003461105823311E-2</v>
      </c>
      <c r="M575" s="2"/>
      <c r="N575" s="12">
        <f t="shared" ref="N575:N627" si="127">J575-P575</f>
        <v>2774</v>
      </c>
      <c r="O575" s="2"/>
      <c r="P575" s="12">
        <v>92456</v>
      </c>
      <c r="R575" s="2"/>
    </row>
    <row r="576" spans="1:18" x14ac:dyDescent="0.25">
      <c r="A576" t="s">
        <v>302</v>
      </c>
      <c r="B576" t="s">
        <v>30</v>
      </c>
      <c r="C576" t="s">
        <v>31</v>
      </c>
      <c r="D576" s="47">
        <f>ROUNDUP((249589.6),0)</f>
        <v>249590</v>
      </c>
      <c r="E576" s="2"/>
      <c r="F576" s="37">
        <f t="shared" si="124"/>
        <v>0</v>
      </c>
      <c r="G576" s="2"/>
      <c r="H576" s="12">
        <f t="shared" si="125"/>
        <v>0</v>
      </c>
      <c r="I576" s="2"/>
      <c r="J576" s="16">
        <f>ROUNDUP((249589.6),0)</f>
        <v>249590</v>
      </c>
      <c r="K576" s="2"/>
      <c r="L576" s="13">
        <f t="shared" si="126"/>
        <v>3.2396032396032393E-2</v>
      </c>
      <c r="M576" s="2"/>
      <c r="N576" s="12">
        <f t="shared" si="127"/>
        <v>7832</v>
      </c>
      <c r="O576" s="2"/>
      <c r="P576" s="12">
        <v>241758</v>
      </c>
      <c r="R576" s="2"/>
    </row>
    <row r="577" spans="1:18" x14ac:dyDescent="0.25">
      <c r="A577" t="s">
        <v>302</v>
      </c>
      <c r="B577" t="s">
        <v>32</v>
      </c>
      <c r="C577" t="s">
        <v>303</v>
      </c>
      <c r="D577" s="48">
        <f>ROUNDUP((18286.46),0)</f>
        <v>18287</v>
      </c>
      <c r="E577" s="2"/>
      <c r="F577" s="37">
        <f t="shared" si="124"/>
        <v>0</v>
      </c>
      <c r="G577" s="2"/>
      <c r="H577" s="12">
        <f t="shared" si="125"/>
        <v>0</v>
      </c>
      <c r="I577" s="2"/>
      <c r="J577" s="28">
        <f>ROUNDUP((18286.46),0)</f>
        <v>18287</v>
      </c>
      <c r="K577" s="2"/>
      <c r="L577" s="13">
        <f t="shared" si="126"/>
        <v>-8.0454568310956903E-2</v>
      </c>
      <c r="M577" s="2"/>
      <c r="N577" s="12">
        <f t="shared" si="127"/>
        <v>-1600</v>
      </c>
      <c r="O577" s="2"/>
      <c r="P577" s="12">
        <v>19887</v>
      </c>
      <c r="R577" s="2"/>
    </row>
    <row r="578" spans="1:18" x14ac:dyDescent="0.25">
      <c r="A578" t="s">
        <v>302</v>
      </c>
      <c r="B578" t="s">
        <v>61</v>
      </c>
      <c r="C578" t="s">
        <v>62</v>
      </c>
      <c r="D578" s="47">
        <v>22900</v>
      </c>
      <c r="E578" s="2"/>
      <c r="F578" s="37">
        <f t="shared" si="124"/>
        <v>0</v>
      </c>
      <c r="G578" s="2"/>
      <c r="H578" s="12">
        <f t="shared" si="125"/>
        <v>0</v>
      </c>
      <c r="I578" s="2"/>
      <c r="J578" s="16">
        <v>22900</v>
      </c>
      <c r="K578" s="2"/>
      <c r="L578" s="13">
        <f t="shared" si="126"/>
        <v>0</v>
      </c>
      <c r="M578" s="2"/>
      <c r="N578" s="12">
        <f t="shared" si="127"/>
        <v>0</v>
      </c>
      <c r="O578" s="2"/>
      <c r="P578" s="12">
        <v>22900</v>
      </c>
      <c r="R578" s="2"/>
    </row>
    <row r="579" spans="1:18" x14ac:dyDescent="0.25">
      <c r="A579" t="s">
        <v>302</v>
      </c>
      <c r="B579" t="s">
        <v>34</v>
      </c>
      <c r="C579" t="s">
        <v>35</v>
      </c>
      <c r="D579" s="47">
        <f>ROUNDUP((411.6),0)</f>
        <v>412</v>
      </c>
      <c r="E579" s="2"/>
      <c r="F579" s="37">
        <f t="shared" si="124"/>
        <v>0</v>
      </c>
      <c r="G579" s="2"/>
      <c r="H579" s="12">
        <f t="shared" si="125"/>
        <v>0</v>
      </c>
      <c r="I579" s="2"/>
      <c r="J579" s="16">
        <f>ROUNDUP((411.6),0)</f>
        <v>412</v>
      </c>
      <c r="K579" s="2"/>
      <c r="L579" s="13">
        <f t="shared" si="126"/>
        <v>-7.829977628635347E-2</v>
      </c>
      <c r="M579" s="2"/>
      <c r="N579" s="12">
        <f t="shared" si="127"/>
        <v>-35</v>
      </c>
      <c r="O579" s="2"/>
      <c r="P579" s="12">
        <v>447</v>
      </c>
      <c r="R579" s="2"/>
    </row>
    <row r="580" spans="1:18" x14ac:dyDescent="0.25">
      <c r="A580" t="s">
        <v>302</v>
      </c>
      <c r="B580" t="s">
        <v>9</v>
      </c>
      <c r="C580" t="s">
        <v>10</v>
      </c>
      <c r="D580" s="47">
        <f>ROUNDUP((13433.21),0)</f>
        <v>13434</v>
      </c>
      <c r="E580" s="2"/>
      <c r="F580" s="37">
        <f t="shared" si="124"/>
        <v>1.442271388658159E-2</v>
      </c>
      <c r="G580" s="2"/>
      <c r="H580" s="12">
        <f t="shared" si="125"/>
        <v>191</v>
      </c>
      <c r="I580" s="2"/>
      <c r="J580" s="16">
        <f>ROUNDUP((13242.69),0)</f>
        <v>13243</v>
      </c>
      <c r="K580" s="2"/>
      <c r="L580" s="13">
        <f t="shared" si="126"/>
        <v>0.27422303473491771</v>
      </c>
      <c r="M580" s="2"/>
      <c r="N580" s="12">
        <f t="shared" si="127"/>
        <v>2850</v>
      </c>
      <c r="O580" s="2"/>
      <c r="P580" s="12">
        <v>10393</v>
      </c>
      <c r="R580" s="2"/>
    </row>
    <row r="581" spans="1:18" x14ac:dyDescent="0.25">
      <c r="A581" t="s">
        <v>302</v>
      </c>
      <c r="B581" t="s">
        <v>36</v>
      </c>
      <c r="C581" t="s">
        <v>304</v>
      </c>
      <c r="D581" s="47">
        <f>ROUNDUP((37993.21),0)</f>
        <v>37994</v>
      </c>
      <c r="E581" s="2"/>
      <c r="F581" s="37">
        <f t="shared" si="124"/>
        <v>1.2957235789698198E-2</v>
      </c>
      <c r="G581" s="2"/>
      <c r="H581" s="12">
        <f t="shared" si="125"/>
        <v>486</v>
      </c>
      <c r="I581" s="2"/>
      <c r="J581" s="16">
        <f>ROUNDUP((37507.37),0)</f>
        <v>37508</v>
      </c>
      <c r="K581" s="2"/>
      <c r="L581" s="13">
        <f t="shared" si="126"/>
        <v>2.9704057541316643E-2</v>
      </c>
      <c r="M581" s="2"/>
      <c r="N581" s="12">
        <f t="shared" si="127"/>
        <v>1082</v>
      </c>
      <c r="O581" s="2"/>
      <c r="P581" s="12">
        <v>36426</v>
      </c>
      <c r="R581" s="2"/>
    </row>
    <row r="582" spans="1:18" x14ac:dyDescent="0.25">
      <c r="A582" t="s">
        <v>302</v>
      </c>
      <c r="B582" t="s">
        <v>305</v>
      </c>
      <c r="C582" t="s">
        <v>306</v>
      </c>
      <c r="D582" s="48">
        <f>ROUNDUP((6070.61),0)</f>
        <v>6071</v>
      </c>
      <c r="E582" s="2"/>
      <c r="F582" s="37">
        <f t="shared" si="124"/>
        <v>0</v>
      </c>
      <c r="G582" s="2"/>
      <c r="H582" s="12">
        <f t="shared" si="125"/>
        <v>0</v>
      </c>
      <c r="I582" s="2"/>
      <c r="J582" s="28">
        <f>ROUNDUP((6070.61),0)</f>
        <v>6071</v>
      </c>
      <c r="K582" s="2"/>
      <c r="L582" s="13">
        <f t="shared" si="126"/>
        <v>-0.30838459785828209</v>
      </c>
      <c r="M582" s="2"/>
      <c r="N582" s="12">
        <f t="shared" si="127"/>
        <v>-2707</v>
      </c>
      <c r="O582" s="2"/>
      <c r="P582" s="12">
        <v>8778</v>
      </c>
      <c r="R582" s="2"/>
    </row>
    <row r="583" spans="1:18" x14ac:dyDescent="0.25">
      <c r="A583" t="s">
        <v>302</v>
      </c>
      <c r="B583" t="s">
        <v>38</v>
      </c>
      <c r="C583" t="s">
        <v>307</v>
      </c>
      <c r="D583" s="47">
        <f>ROUNDUP((76386.33),0)</f>
        <v>76387</v>
      </c>
      <c r="E583" s="2"/>
      <c r="F583" s="37">
        <f t="shared" si="124"/>
        <v>0</v>
      </c>
      <c r="G583" s="2"/>
      <c r="H583" s="12">
        <f t="shared" si="125"/>
        <v>0</v>
      </c>
      <c r="I583" s="2"/>
      <c r="J583" s="16">
        <f>ROUNDUP((76386.33),0)</f>
        <v>76387</v>
      </c>
      <c r="K583" s="2"/>
      <c r="L583" s="13">
        <f t="shared" si="126"/>
        <v>-0.32282229038492227</v>
      </c>
      <c r="M583" s="2"/>
      <c r="N583" s="12">
        <f t="shared" si="127"/>
        <v>-36415</v>
      </c>
      <c r="O583" s="2"/>
      <c r="P583" s="12">
        <v>112802</v>
      </c>
      <c r="R583" s="2"/>
    </row>
    <row r="584" spans="1:18" x14ac:dyDescent="0.25">
      <c r="A584" t="s">
        <v>302</v>
      </c>
      <c r="B584" t="s">
        <v>90</v>
      </c>
      <c r="C584" t="s">
        <v>91</v>
      </c>
      <c r="D584" s="48">
        <v>3836</v>
      </c>
      <c r="E584" s="2"/>
      <c r="F584" s="37">
        <f t="shared" si="124"/>
        <v>3.007518796992481E-2</v>
      </c>
      <c r="G584" s="2"/>
      <c r="H584" s="12">
        <f t="shared" si="125"/>
        <v>112</v>
      </c>
      <c r="I584" s="2"/>
      <c r="J584" s="16">
        <v>3724</v>
      </c>
      <c r="K584" s="2"/>
      <c r="L584" s="13">
        <f t="shared" si="126"/>
        <v>0</v>
      </c>
      <c r="M584" s="2"/>
      <c r="N584" s="12">
        <f t="shared" si="127"/>
        <v>0</v>
      </c>
      <c r="O584" s="2"/>
      <c r="P584" s="12">
        <v>3724</v>
      </c>
      <c r="R584" s="2"/>
    </row>
    <row r="585" spans="1:18" x14ac:dyDescent="0.25">
      <c r="A585" t="s">
        <v>302</v>
      </c>
      <c r="B585" t="s">
        <v>11</v>
      </c>
      <c r="C585" t="s">
        <v>118</v>
      </c>
      <c r="D585" s="47">
        <f>ROUNDUP((28494.91),0)</f>
        <v>28495</v>
      </c>
      <c r="E585" s="2"/>
      <c r="F585" s="37">
        <f t="shared" si="124"/>
        <v>1.2939461803704099E-2</v>
      </c>
      <c r="G585" s="2"/>
      <c r="H585" s="12">
        <f t="shared" si="125"/>
        <v>364</v>
      </c>
      <c r="I585" s="2"/>
      <c r="J585" s="16">
        <f>ROUNDUP((28130.52),0)</f>
        <v>28131</v>
      </c>
      <c r="K585" s="2"/>
      <c r="L585" s="13">
        <f t="shared" si="126"/>
        <v>2.3764466118349224E-2</v>
      </c>
      <c r="M585" s="2"/>
      <c r="N585" s="12">
        <f t="shared" si="127"/>
        <v>653</v>
      </c>
      <c r="O585" s="2"/>
      <c r="P585" s="12">
        <v>27478</v>
      </c>
      <c r="R585" s="2"/>
    </row>
    <row r="586" spans="1:18" x14ac:dyDescent="0.25">
      <c r="A586" t="s">
        <v>302</v>
      </c>
      <c r="B586" t="s">
        <v>192</v>
      </c>
      <c r="C586" t="s">
        <v>193</v>
      </c>
      <c r="D586" s="47">
        <v>400</v>
      </c>
      <c r="E586" s="2"/>
      <c r="F586" s="37">
        <f t="shared" si="124"/>
        <v>0</v>
      </c>
      <c r="G586" s="2"/>
      <c r="H586" s="12">
        <f t="shared" si="125"/>
        <v>0</v>
      </c>
      <c r="I586" s="2"/>
      <c r="J586" s="16">
        <v>400</v>
      </c>
      <c r="K586" s="2"/>
      <c r="L586" s="13">
        <f t="shared" si="126"/>
        <v>0.6</v>
      </c>
      <c r="M586" s="2"/>
      <c r="N586" s="12">
        <f t="shared" si="127"/>
        <v>150</v>
      </c>
      <c r="O586" s="2"/>
      <c r="P586" s="12">
        <v>250</v>
      </c>
      <c r="R586" s="2"/>
    </row>
    <row r="587" spans="1:18" x14ac:dyDescent="0.25">
      <c r="A587" t="s">
        <v>302</v>
      </c>
      <c r="B587" t="s">
        <v>13</v>
      </c>
      <c r="C587" t="s">
        <v>308</v>
      </c>
      <c r="D587" s="47">
        <v>2500</v>
      </c>
      <c r="E587" s="2"/>
      <c r="F587" s="37">
        <f t="shared" si="124"/>
        <v>0</v>
      </c>
      <c r="G587" s="2"/>
      <c r="H587" s="12">
        <f t="shared" si="125"/>
        <v>0</v>
      </c>
      <c r="I587" s="2"/>
      <c r="J587" s="16">
        <v>2500</v>
      </c>
      <c r="K587" s="2"/>
      <c r="L587" s="13">
        <f t="shared" si="126"/>
        <v>0</v>
      </c>
      <c r="M587" s="2"/>
      <c r="N587" s="12">
        <f t="shared" si="127"/>
        <v>0</v>
      </c>
      <c r="O587" s="2"/>
      <c r="P587" s="12">
        <v>2500</v>
      </c>
      <c r="R587" s="2"/>
    </row>
    <row r="588" spans="1:18" x14ac:dyDescent="0.25">
      <c r="A588" t="s">
        <v>302</v>
      </c>
      <c r="B588" t="s">
        <v>227</v>
      </c>
      <c r="C588" t="s">
        <v>228</v>
      </c>
      <c r="D588" s="47">
        <v>42700</v>
      </c>
      <c r="E588" s="2"/>
      <c r="F588" s="37">
        <f t="shared" si="124"/>
        <v>0</v>
      </c>
      <c r="G588" s="2"/>
      <c r="H588" s="12">
        <f t="shared" si="125"/>
        <v>0</v>
      </c>
      <c r="I588" s="2"/>
      <c r="J588" s="16">
        <v>42700</v>
      </c>
      <c r="K588" s="2"/>
      <c r="L588" s="13">
        <f t="shared" si="126"/>
        <v>0</v>
      </c>
      <c r="M588" s="2"/>
      <c r="N588" s="12">
        <f t="shared" si="127"/>
        <v>0</v>
      </c>
      <c r="O588" s="2"/>
      <c r="P588" s="12">
        <v>42700</v>
      </c>
      <c r="R588" s="2"/>
    </row>
    <row r="589" spans="1:18" x14ac:dyDescent="0.25">
      <c r="A589" t="s">
        <v>302</v>
      </c>
      <c r="B589" t="s">
        <v>19</v>
      </c>
      <c r="C589" t="s">
        <v>20</v>
      </c>
      <c r="D589" s="47">
        <v>8500</v>
      </c>
      <c r="E589" s="2"/>
      <c r="F589" s="37">
        <f t="shared" si="124"/>
        <v>0</v>
      </c>
      <c r="G589" s="2"/>
      <c r="H589" s="12">
        <f t="shared" si="125"/>
        <v>0</v>
      </c>
      <c r="I589" s="2"/>
      <c r="J589" s="16">
        <v>8500</v>
      </c>
      <c r="K589" s="2"/>
      <c r="L589" s="13">
        <f t="shared" si="126"/>
        <v>0</v>
      </c>
      <c r="M589" s="2"/>
      <c r="N589" s="12">
        <f t="shared" si="127"/>
        <v>0</v>
      </c>
      <c r="O589" s="2"/>
      <c r="P589" s="12">
        <v>8500</v>
      </c>
      <c r="R589" s="2"/>
    </row>
    <row r="590" spans="1:18" x14ac:dyDescent="0.25">
      <c r="A590" t="s">
        <v>302</v>
      </c>
      <c r="B590" t="s">
        <v>21</v>
      </c>
      <c r="C590" t="s">
        <v>22</v>
      </c>
      <c r="D590" s="47">
        <v>300</v>
      </c>
      <c r="E590" s="2"/>
      <c r="F590" s="37">
        <f t="shared" si="124"/>
        <v>0</v>
      </c>
      <c r="G590" s="2"/>
      <c r="H590" s="12">
        <f t="shared" si="125"/>
        <v>0</v>
      </c>
      <c r="I590" s="2"/>
      <c r="J590" s="16">
        <v>300</v>
      </c>
      <c r="K590" s="2"/>
      <c r="L590" s="13">
        <f t="shared" si="126"/>
        <v>0</v>
      </c>
      <c r="M590" s="2"/>
      <c r="N590" s="12">
        <f t="shared" si="127"/>
        <v>0</v>
      </c>
      <c r="O590" s="2"/>
      <c r="P590" s="12">
        <v>300</v>
      </c>
      <c r="R590" s="2"/>
    </row>
    <row r="591" spans="1:18" x14ac:dyDescent="0.25">
      <c r="A591" t="s">
        <v>302</v>
      </c>
      <c r="B591" t="s">
        <v>194</v>
      </c>
      <c r="C591" t="s">
        <v>195</v>
      </c>
      <c r="D591" s="47">
        <v>400</v>
      </c>
      <c r="E591" s="2"/>
      <c r="F591" s="37">
        <f t="shared" si="124"/>
        <v>0</v>
      </c>
      <c r="G591" s="2"/>
      <c r="H591" s="12">
        <f t="shared" si="125"/>
        <v>0</v>
      </c>
      <c r="I591" s="2"/>
      <c r="J591" s="16">
        <v>400</v>
      </c>
      <c r="K591" s="2"/>
      <c r="L591" s="13">
        <f t="shared" si="126"/>
        <v>0</v>
      </c>
      <c r="M591" s="2"/>
      <c r="N591" s="12">
        <f t="shared" si="127"/>
        <v>0</v>
      </c>
      <c r="O591" s="2"/>
      <c r="P591" s="12">
        <v>400</v>
      </c>
      <c r="R591" s="2"/>
    </row>
    <row r="592" spans="1:18" x14ac:dyDescent="0.25">
      <c r="A592" t="s">
        <v>302</v>
      </c>
      <c r="B592" t="s">
        <v>309</v>
      </c>
      <c r="C592" t="s">
        <v>310</v>
      </c>
      <c r="D592" s="47">
        <v>3000</v>
      </c>
      <c r="E592" s="2"/>
      <c r="F592" s="37">
        <f t="shared" si="124"/>
        <v>0</v>
      </c>
      <c r="G592" s="2"/>
      <c r="H592" s="12">
        <f t="shared" si="125"/>
        <v>0</v>
      </c>
      <c r="I592" s="2"/>
      <c r="J592" s="16">
        <v>3000</v>
      </c>
      <c r="K592" s="2"/>
      <c r="L592" s="13">
        <f t="shared" si="126"/>
        <v>0</v>
      </c>
      <c r="M592" s="2"/>
      <c r="N592" s="12">
        <f t="shared" si="127"/>
        <v>0</v>
      </c>
      <c r="O592" s="2"/>
      <c r="P592" s="12">
        <v>3000</v>
      </c>
      <c r="R592" s="2"/>
    </row>
    <row r="593" spans="1:18" x14ac:dyDescent="0.25">
      <c r="A593" t="s">
        <v>302</v>
      </c>
      <c r="B593" t="s">
        <v>153</v>
      </c>
      <c r="C593" t="s">
        <v>154</v>
      </c>
      <c r="D593" s="47">
        <v>4500</v>
      </c>
      <c r="E593" s="2"/>
      <c r="F593" s="37">
        <f t="shared" si="124"/>
        <v>0</v>
      </c>
      <c r="G593" s="2"/>
      <c r="H593" s="12">
        <f t="shared" si="125"/>
        <v>0</v>
      </c>
      <c r="I593" s="2"/>
      <c r="J593" s="16">
        <v>4500</v>
      </c>
      <c r="K593" s="2"/>
      <c r="L593" s="13">
        <f t="shared" si="126"/>
        <v>5.8823529411764705E-2</v>
      </c>
      <c r="M593" s="2"/>
      <c r="N593" s="12">
        <f t="shared" si="127"/>
        <v>250</v>
      </c>
      <c r="O593" s="2"/>
      <c r="P593" s="12">
        <v>4250</v>
      </c>
      <c r="R593" s="2"/>
    </row>
    <row r="594" spans="1:18" x14ac:dyDescent="0.25">
      <c r="A594" t="s">
        <v>302</v>
      </c>
      <c r="B594" t="s">
        <v>40</v>
      </c>
      <c r="C594" t="s">
        <v>137</v>
      </c>
      <c r="D594" s="47">
        <v>2564</v>
      </c>
      <c r="E594" s="2"/>
      <c r="F594" s="37">
        <f t="shared" si="124"/>
        <v>0</v>
      </c>
      <c r="G594" s="2"/>
      <c r="H594" s="12">
        <f t="shared" si="125"/>
        <v>0</v>
      </c>
      <c r="I594" s="2"/>
      <c r="J594" s="16">
        <v>2564</v>
      </c>
      <c r="K594" s="2"/>
      <c r="L594" s="13">
        <f t="shared" si="126"/>
        <v>0</v>
      </c>
      <c r="M594" s="2"/>
      <c r="N594" s="12">
        <f t="shared" si="127"/>
        <v>0</v>
      </c>
      <c r="O594" s="2"/>
      <c r="P594" s="12">
        <v>2564</v>
      </c>
      <c r="R594" s="2"/>
    </row>
    <row r="595" spans="1:18" x14ac:dyDescent="0.25">
      <c r="A595" t="s">
        <v>302</v>
      </c>
      <c r="B595" t="s">
        <v>85</v>
      </c>
      <c r="C595" t="s">
        <v>86</v>
      </c>
      <c r="D595" s="47">
        <v>6100</v>
      </c>
      <c r="E595" s="2"/>
      <c r="F595" s="37">
        <f t="shared" si="124"/>
        <v>0</v>
      </c>
      <c r="G595" s="2"/>
      <c r="H595" s="12">
        <f t="shared" si="125"/>
        <v>0</v>
      </c>
      <c r="I595" s="2"/>
      <c r="J595" s="16">
        <v>6100</v>
      </c>
      <c r="K595" s="2"/>
      <c r="L595" s="13">
        <f t="shared" si="126"/>
        <v>0.2847514743049705</v>
      </c>
      <c r="M595" s="2"/>
      <c r="N595" s="12">
        <f t="shared" si="127"/>
        <v>1352</v>
      </c>
      <c r="O595" s="2"/>
      <c r="P595" s="12">
        <v>4748</v>
      </c>
      <c r="R595" s="2"/>
    </row>
    <row r="596" spans="1:18" x14ac:dyDescent="0.25">
      <c r="A596" t="s">
        <v>302</v>
      </c>
      <c r="B596" t="s">
        <v>157</v>
      </c>
      <c r="C596" t="s">
        <v>158</v>
      </c>
      <c r="D596" s="47">
        <v>2410</v>
      </c>
      <c r="E596" s="2"/>
      <c r="F596" s="37">
        <f t="shared" si="124"/>
        <v>0</v>
      </c>
      <c r="G596" s="2"/>
      <c r="H596" s="12">
        <f t="shared" si="125"/>
        <v>0</v>
      </c>
      <c r="I596" s="2"/>
      <c r="J596" s="16">
        <v>2410</v>
      </c>
      <c r="K596" s="2"/>
      <c r="L596" s="13">
        <f t="shared" si="126"/>
        <v>0.37243735763097952</v>
      </c>
      <c r="M596" s="2"/>
      <c r="N596" s="12">
        <f t="shared" si="127"/>
        <v>654</v>
      </c>
      <c r="O596" s="2"/>
      <c r="P596" s="12">
        <v>1756</v>
      </c>
      <c r="R596" s="2"/>
    </row>
    <row r="597" spans="1:18" x14ac:dyDescent="0.25">
      <c r="A597" t="s">
        <v>302</v>
      </c>
      <c r="B597" t="s">
        <v>23</v>
      </c>
      <c r="C597" t="s">
        <v>273</v>
      </c>
      <c r="D597" s="47">
        <v>3000</v>
      </c>
      <c r="E597" s="2"/>
      <c r="F597" s="37">
        <f t="shared" si="124"/>
        <v>0</v>
      </c>
      <c r="G597" s="2"/>
      <c r="H597" s="12">
        <f t="shared" si="125"/>
        <v>0</v>
      </c>
      <c r="I597" s="2"/>
      <c r="J597" s="16">
        <v>3000</v>
      </c>
      <c r="K597" s="2"/>
      <c r="L597" s="13">
        <f t="shared" si="126"/>
        <v>0</v>
      </c>
      <c r="M597" s="2"/>
      <c r="N597" s="12">
        <f t="shared" si="127"/>
        <v>0</v>
      </c>
      <c r="O597" s="2"/>
      <c r="P597" s="12">
        <v>3000</v>
      </c>
      <c r="R597" s="2"/>
    </row>
    <row r="598" spans="1:18" x14ac:dyDescent="0.25">
      <c r="A598" t="s">
        <v>302</v>
      </c>
      <c r="B598" t="s">
        <v>44</v>
      </c>
      <c r="C598" t="s">
        <v>311</v>
      </c>
      <c r="D598" s="47">
        <v>300</v>
      </c>
      <c r="E598" s="2"/>
      <c r="F598" s="37">
        <f t="shared" si="124"/>
        <v>0</v>
      </c>
      <c r="G598" s="2"/>
      <c r="H598" s="12">
        <f t="shared" si="125"/>
        <v>0</v>
      </c>
      <c r="I598" s="2"/>
      <c r="J598" s="16">
        <v>300</v>
      </c>
      <c r="K598" s="2"/>
      <c r="L598" s="13">
        <f t="shared" si="126"/>
        <v>0</v>
      </c>
      <c r="M598" s="2"/>
      <c r="N598" s="12">
        <f t="shared" si="127"/>
        <v>0</v>
      </c>
      <c r="O598" s="2"/>
      <c r="P598" s="12">
        <v>300</v>
      </c>
      <c r="R598" s="2"/>
    </row>
    <row r="599" spans="1:18" x14ac:dyDescent="0.25">
      <c r="A599" t="s">
        <v>302</v>
      </c>
      <c r="B599" t="s">
        <v>206</v>
      </c>
      <c r="C599" t="s">
        <v>207</v>
      </c>
      <c r="D599" s="47">
        <v>2100</v>
      </c>
      <c r="E599" s="2"/>
      <c r="F599" s="37">
        <f t="shared" si="124"/>
        <v>0</v>
      </c>
      <c r="G599" s="2"/>
      <c r="H599" s="12">
        <f t="shared" si="125"/>
        <v>0</v>
      </c>
      <c r="I599" s="2"/>
      <c r="J599" s="16">
        <v>2100</v>
      </c>
      <c r="K599" s="2"/>
      <c r="L599" s="13">
        <f t="shared" si="126"/>
        <v>0.3125</v>
      </c>
      <c r="M599" s="2"/>
      <c r="N599" s="12">
        <f t="shared" si="127"/>
        <v>500</v>
      </c>
      <c r="O599" s="2"/>
      <c r="P599" s="12">
        <v>1600</v>
      </c>
      <c r="R599" s="2"/>
    </row>
    <row r="600" spans="1:18" x14ac:dyDescent="0.25">
      <c r="A600" t="s">
        <v>302</v>
      </c>
      <c r="B600" t="s">
        <v>54</v>
      </c>
      <c r="C600" t="s">
        <v>55</v>
      </c>
      <c r="D600" s="47">
        <v>1000</v>
      </c>
      <c r="E600" s="2"/>
      <c r="F600" s="37">
        <f t="shared" si="124"/>
        <v>0</v>
      </c>
      <c r="G600" s="2"/>
      <c r="H600" s="12">
        <f t="shared" si="125"/>
        <v>0</v>
      </c>
      <c r="I600" s="2"/>
      <c r="J600" s="16">
        <v>1000</v>
      </c>
      <c r="K600" s="2"/>
      <c r="L600" s="13">
        <f t="shared" si="126"/>
        <v>0</v>
      </c>
      <c r="M600" s="2"/>
      <c r="N600" s="12">
        <f t="shared" si="127"/>
        <v>0</v>
      </c>
      <c r="O600" s="2"/>
      <c r="P600" s="12">
        <v>1000</v>
      </c>
      <c r="R600" s="2"/>
    </row>
    <row r="601" spans="1:18" x14ac:dyDescent="0.25">
      <c r="A601" t="s">
        <v>302</v>
      </c>
      <c r="B601" t="s">
        <v>46</v>
      </c>
      <c r="C601" t="s">
        <v>47</v>
      </c>
      <c r="D601" s="47">
        <v>2634</v>
      </c>
      <c r="E601" s="2"/>
      <c r="F601" s="37">
        <f t="shared" si="124"/>
        <v>0</v>
      </c>
      <c r="G601" s="2"/>
      <c r="H601" s="12">
        <f t="shared" si="125"/>
        <v>0</v>
      </c>
      <c r="I601" s="2"/>
      <c r="J601" s="16">
        <v>2634</v>
      </c>
      <c r="K601" s="2"/>
      <c r="L601" s="13">
        <f t="shared" si="126"/>
        <v>0</v>
      </c>
      <c r="M601" s="2"/>
      <c r="N601" s="12">
        <f t="shared" si="127"/>
        <v>0</v>
      </c>
      <c r="O601" s="2"/>
      <c r="P601" s="12">
        <v>2634</v>
      </c>
      <c r="R601" s="2"/>
    </row>
    <row r="602" spans="1:18" x14ac:dyDescent="0.25">
      <c r="A602" t="s">
        <v>302</v>
      </c>
      <c r="B602" t="s">
        <v>67</v>
      </c>
      <c r="C602" t="s">
        <v>68</v>
      </c>
      <c r="D602" s="47">
        <v>10000</v>
      </c>
      <c r="E602" s="2"/>
      <c r="F602" s="37">
        <f t="shared" si="124"/>
        <v>0</v>
      </c>
      <c r="G602" s="2"/>
      <c r="H602" s="12">
        <f t="shared" si="125"/>
        <v>0</v>
      </c>
      <c r="I602" s="2"/>
      <c r="J602" s="16">
        <v>10000</v>
      </c>
      <c r="K602" s="2"/>
      <c r="L602" s="13">
        <f t="shared" si="126"/>
        <v>0</v>
      </c>
      <c r="M602" s="2"/>
      <c r="N602" s="12">
        <f t="shared" si="127"/>
        <v>0</v>
      </c>
      <c r="O602" s="2"/>
      <c r="P602" s="12">
        <v>10000</v>
      </c>
      <c r="R602" s="2"/>
    </row>
    <row r="603" spans="1:18" x14ac:dyDescent="0.25">
      <c r="A603" t="s">
        <v>302</v>
      </c>
      <c r="B603" t="s">
        <v>312</v>
      </c>
      <c r="C603" t="s">
        <v>313</v>
      </c>
      <c r="D603" s="47">
        <v>3500</v>
      </c>
      <c r="E603" s="2"/>
      <c r="F603" s="37">
        <f t="shared" si="124"/>
        <v>0</v>
      </c>
      <c r="G603" s="2"/>
      <c r="H603" s="12">
        <f t="shared" si="125"/>
        <v>0</v>
      </c>
      <c r="I603" s="2"/>
      <c r="J603" s="16">
        <v>3500</v>
      </c>
      <c r="K603" s="2"/>
      <c r="L603" s="13">
        <f t="shared" si="126"/>
        <v>0</v>
      </c>
      <c r="M603" s="2"/>
      <c r="N603" s="12">
        <f t="shared" si="127"/>
        <v>0</v>
      </c>
      <c r="O603" s="2"/>
      <c r="P603" s="12">
        <v>3500</v>
      </c>
      <c r="R603" s="2"/>
    </row>
    <row r="604" spans="1:18" x14ac:dyDescent="0.25">
      <c r="A604" t="s">
        <v>302</v>
      </c>
      <c r="B604" t="s">
        <v>119</v>
      </c>
      <c r="C604" t="s">
        <v>120</v>
      </c>
      <c r="D604" s="47">
        <v>120000</v>
      </c>
      <c r="E604" s="2"/>
      <c r="F604" s="37">
        <f t="shared" si="124"/>
        <v>0</v>
      </c>
      <c r="G604" s="2"/>
      <c r="H604" s="12">
        <f t="shared" si="125"/>
        <v>0</v>
      </c>
      <c r="I604" s="2"/>
      <c r="J604" s="16">
        <v>120000</v>
      </c>
      <c r="K604" s="2"/>
      <c r="L604" s="13">
        <f t="shared" si="126"/>
        <v>0</v>
      </c>
      <c r="M604" s="2"/>
      <c r="N604" s="12">
        <f t="shared" si="127"/>
        <v>0</v>
      </c>
      <c r="O604" s="2"/>
      <c r="P604" s="12">
        <v>120000</v>
      </c>
      <c r="R604" s="2"/>
    </row>
    <row r="605" spans="1:18" x14ac:dyDescent="0.25">
      <c r="A605" t="s">
        <v>302</v>
      </c>
      <c r="B605" t="s">
        <v>121</v>
      </c>
      <c r="C605" t="s">
        <v>122</v>
      </c>
      <c r="D605" s="47">
        <v>22800</v>
      </c>
      <c r="E605" s="2"/>
      <c r="F605" s="37">
        <f t="shared" si="124"/>
        <v>0.14000000000000001</v>
      </c>
      <c r="G605" s="2"/>
      <c r="H605" s="12">
        <f t="shared" si="125"/>
        <v>2800</v>
      </c>
      <c r="I605" s="2"/>
      <c r="J605" s="16">
        <v>20000</v>
      </c>
      <c r="K605" s="2"/>
      <c r="L605" s="13">
        <f t="shared" si="126"/>
        <v>0.29032258064516131</v>
      </c>
      <c r="M605" s="2"/>
      <c r="N605" s="12">
        <f t="shared" si="127"/>
        <v>4500</v>
      </c>
      <c r="O605" s="2"/>
      <c r="P605" s="12">
        <v>15500</v>
      </c>
      <c r="R605" s="2"/>
    </row>
    <row r="606" spans="1:18" x14ac:dyDescent="0.25">
      <c r="A606" t="s">
        <v>302</v>
      </c>
      <c r="B606" t="s">
        <v>123</v>
      </c>
      <c r="C606" t="s">
        <v>124</v>
      </c>
      <c r="D606" s="47">
        <v>950</v>
      </c>
      <c r="E606" s="2"/>
      <c r="F606" s="37">
        <f t="shared" si="124"/>
        <v>0</v>
      </c>
      <c r="G606" s="2"/>
      <c r="H606" s="12">
        <f t="shared" si="125"/>
        <v>0</v>
      </c>
      <c r="I606" s="2"/>
      <c r="J606" s="16">
        <v>950</v>
      </c>
      <c r="K606" s="2"/>
      <c r="L606" s="13">
        <f t="shared" si="126"/>
        <v>0</v>
      </c>
      <c r="M606" s="2"/>
      <c r="N606" s="12">
        <f t="shared" si="127"/>
        <v>0</v>
      </c>
      <c r="O606" s="2"/>
      <c r="P606" s="12">
        <v>950</v>
      </c>
      <c r="R606" s="2"/>
    </row>
    <row r="607" spans="1:18" x14ac:dyDescent="0.25">
      <c r="A607" t="s">
        <v>302</v>
      </c>
      <c r="B607" t="s">
        <v>127</v>
      </c>
      <c r="C607" t="s">
        <v>128</v>
      </c>
      <c r="D607" s="47">
        <v>9500</v>
      </c>
      <c r="E607" s="2"/>
      <c r="F607" s="37">
        <f t="shared" si="124"/>
        <v>0</v>
      </c>
      <c r="G607" s="2"/>
      <c r="H607" s="12">
        <f t="shared" si="125"/>
        <v>0</v>
      </c>
      <c r="I607" s="2"/>
      <c r="J607" s="16">
        <v>9500</v>
      </c>
      <c r="K607" s="2"/>
      <c r="L607" s="13">
        <f t="shared" si="126"/>
        <v>0</v>
      </c>
      <c r="M607" s="2"/>
      <c r="N607" s="12">
        <f t="shared" si="127"/>
        <v>0</v>
      </c>
      <c r="O607" s="2"/>
      <c r="P607" s="12">
        <v>9500</v>
      </c>
      <c r="R607" s="2"/>
    </row>
    <row r="608" spans="1:18" x14ac:dyDescent="0.25">
      <c r="A608" t="s">
        <v>302</v>
      </c>
      <c r="B608" t="s">
        <v>115</v>
      </c>
      <c r="C608" t="s">
        <v>116</v>
      </c>
      <c r="D608" s="47">
        <v>19080</v>
      </c>
      <c r="E608" s="2"/>
      <c r="F608" s="37">
        <f t="shared" si="124"/>
        <v>0</v>
      </c>
      <c r="G608" s="2"/>
      <c r="H608" s="12">
        <f t="shared" si="125"/>
        <v>0</v>
      </c>
      <c r="I608" s="2"/>
      <c r="J608" s="16">
        <v>19080</v>
      </c>
      <c r="K608" s="2"/>
      <c r="L608" s="13">
        <f t="shared" si="126"/>
        <v>-0.48432432432432432</v>
      </c>
      <c r="M608" s="2"/>
      <c r="N608" s="12">
        <f t="shared" si="127"/>
        <v>-17920</v>
      </c>
      <c r="O608" s="2"/>
      <c r="P608" s="12">
        <v>37000</v>
      </c>
      <c r="R608" s="2"/>
    </row>
    <row r="609" spans="1:18" x14ac:dyDescent="0.25">
      <c r="A609" t="s">
        <v>302</v>
      </c>
      <c r="B609" t="s">
        <v>214</v>
      </c>
      <c r="C609" t="s">
        <v>215</v>
      </c>
      <c r="D609" s="47">
        <v>7500</v>
      </c>
      <c r="E609" s="2"/>
      <c r="F609" s="37">
        <f t="shared" si="124"/>
        <v>0</v>
      </c>
      <c r="G609" s="2"/>
      <c r="H609" s="12">
        <f t="shared" si="125"/>
        <v>0</v>
      </c>
      <c r="I609" s="2"/>
      <c r="J609" s="16">
        <v>7500</v>
      </c>
      <c r="K609" s="2"/>
      <c r="L609" s="13">
        <f t="shared" si="126"/>
        <v>0</v>
      </c>
      <c r="M609" s="2"/>
      <c r="N609" s="12">
        <f t="shared" si="127"/>
        <v>0</v>
      </c>
      <c r="O609" s="2"/>
      <c r="P609" s="12">
        <v>7500</v>
      </c>
      <c r="R609" s="2"/>
    </row>
    <row r="610" spans="1:18" x14ac:dyDescent="0.25">
      <c r="A610" t="s">
        <v>302</v>
      </c>
      <c r="B610" t="s">
        <v>314</v>
      </c>
      <c r="C610" t="s">
        <v>315</v>
      </c>
      <c r="D610" s="47">
        <v>72000</v>
      </c>
      <c r="E610" s="2"/>
      <c r="F610" s="37">
        <f t="shared" si="124"/>
        <v>0</v>
      </c>
      <c r="G610" s="2"/>
      <c r="H610" s="12">
        <f t="shared" si="125"/>
        <v>0</v>
      </c>
      <c r="I610" s="2"/>
      <c r="J610" s="16">
        <v>72000</v>
      </c>
      <c r="K610" s="2"/>
      <c r="L610" s="13">
        <f t="shared" si="126"/>
        <v>0</v>
      </c>
      <c r="M610" s="2"/>
      <c r="N610" s="12">
        <f t="shared" si="127"/>
        <v>0</v>
      </c>
      <c r="O610" s="2"/>
      <c r="P610" s="12">
        <v>72000</v>
      </c>
      <c r="R610" s="2"/>
    </row>
    <row r="611" spans="1:18" x14ac:dyDescent="0.25">
      <c r="A611" t="s">
        <v>302</v>
      </c>
      <c r="B611" t="s">
        <v>316</v>
      </c>
      <c r="C611" t="s">
        <v>317</v>
      </c>
      <c r="D611" s="47">
        <v>14000</v>
      </c>
      <c r="E611" s="2"/>
      <c r="F611" s="37">
        <f t="shared" si="124"/>
        <v>0</v>
      </c>
      <c r="G611" s="2"/>
      <c r="H611" s="12">
        <f t="shared" si="125"/>
        <v>0</v>
      </c>
      <c r="I611" s="2"/>
      <c r="J611" s="16">
        <v>14000</v>
      </c>
      <c r="K611" s="2"/>
      <c r="L611" s="13">
        <f t="shared" si="126"/>
        <v>0.4</v>
      </c>
      <c r="M611" s="2"/>
      <c r="N611" s="12">
        <f t="shared" si="127"/>
        <v>4000</v>
      </c>
      <c r="O611" s="2"/>
      <c r="P611" s="12">
        <v>10000</v>
      </c>
      <c r="R611" s="2"/>
    </row>
    <row r="612" spans="1:18" x14ac:dyDescent="0.25">
      <c r="A612" t="s">
        <v>302</v>
      </c>
      <c r="B612" t="s">
        <v>318</v>
      </c>
      <c r="C612" s="39" t="s">
        <v>319</v>
      </c>
      <c r="D612" s="47">
        <v>188000</v>
      </c>
      <c r="E612" s="2"/>
      <c r="F612" s="37">
        <f t="shared" si="124"/>
        <v>0.504</v>
      </c>
      <c r="G612" s="2"/>
      <c r="H612" s="12">
        <f t="shared" si="125"/>
        <v>63000</v>
      </c>
      <c r="I612" s="2"/>
      <c r="J612" s="16">
        <v>125000</v>
      </c>
      <c r="K612" s="2"/>
      <c r="L612" s="13">
        <f t="shared" si="126"/>
        <v>0</v>
      </c>
      <c r="M612" s="2"/>
      <c r="N612" s="12">
        <f t="shared" si="127"/>
        <v>0</v>
      </c>
      <c r="O612" s="2"/>
      <c r="P612" s="12">
        <v>125000</v>
      </c>
      <c r="R612" s="2"/>
    </row>
    <row r="613" spans="1:18" x14ac:dyDescent="0.25">
      <c r="A613" t="s">
        <v>302</v>
      </c>
      <c r="B613" t="s">
        <v>233</v>
      </c>
      <c r="C613" t="s">
        <v>234</v>
      </c>
      <c r="D613" s="47">
        <v>2800</v>
      </c>
      <c r="E613" s="2"/>
      <c r="F613" s="37">
        <f t="shared" si="124"/>
        <v>0</v>
      </c>
      <c r="G613" s="2"/>
      <c r="H613" s="12">
        <f t="shared" si="125"/>
        <v>0</v>
      </c>
      <c r="I613" s="2"/>
      <c r="J613" s="16">
        <v>2800</v>
      </c>
      <c r="K613" s="2"/>
      <c r="L613" s="13">
        <f t="shared" si="126"/>
        <v>0.35265700483091789</v>
      </c>
      <c r="M613" s="2"/>
      <c r="N613" s="12">
        <f t="shared" si="127"/>
        <v>730</v>
      </c>
      <c r="O613" s="2"/>
      <c r="P613" s="12">
        <v>2070</v>
      </c>
      <c r="R613" s="2"/>
    </row>
    <row r="614" spans="1:18" x14ac:dyDescent="0.25">
      <c r="A614" t="s">
        <v>302</v>
      </c>
      <c r="B614" t="s">
        <v>320</v>
      </c>
      <c r="C614" t="s">
        <v>321</v>
      </c>
      <c r="D614" s="47">
        <v>10000</v>
      </c>
      <c r="E614" s="2"/>
      <c r="F614" s="37">
        <f t="shared" si="124"/>
        <v>0</v>
      </c>
      <c r="G614" s="2"/>
      <c r="H614" s="12">
        <f t="shared" si="125"/>
        <v>0</v>
      </c>
      <c r="I614" s="2"/>
      <c r="J614" s="16">
        <v>10000</v>
      </c>
      <c r="K614" s="2"/>
      <c r="L614" s="13">
        <f t="shared" si="126"/>
        <v>0</v>
      </c>
      <c r="M614" s="2"/>
      <c r="N614" s="12">
        <f t="shared" si="127"/>
        <v>0</v>
      </c>
      <c r="O614" s="2"/>
      <c r="P614" s="12">
        <v>10000</v>
      </c>
      <c r="R614" s="2"/>
    </row>
    <row r="615" spans="1:18" s="39" customFormat="1" x14ac:dyDescent="0.25">
      <c r="A615" s="39" t="s">
        <v>302</v>
      </c>
      <c r="B615" s="39" t="s">
        <v>92</v>
      </c>
      <c r="C615" s="39" t="s">
        <v>93</v>
      </c>
      <c r="D615" s="48">
        <v>1225</v>
      </c>
      <c r="E615" s="43"/>
      <c r="F615" s="44">
        <f t="shared" si="124"/>
        <v>0.15023474178403756</v>
      </c>
      <c r="G615" s="43"/>
      <c r="H615" s="45">
        <f t="shared" si="125"/>
        <v>160</v>
      </c>
      <c r="I615" s="43"/>
      <c r="J615" s="28">
        <v>1065</v>
      </c>
      <c r="K615" s="43"/>
      <c r="L615" s="46">
        <f t="shared" si="126"/>
        <v>0</v>
      </c>
      <c r="M615" s="43"/>
      <c r="N615" s="45">
        <f t="shared" si="127"/>
        <v>0</v>
      </c>
      <c r="O615" s="43"/>
      <c r="P615" s="45">
        <v>1065</v>
      </c>
      <c r="R615" s="43"/>
    </row>
    <row r="616" spans="1:18" s="39" customFormat="1" x14ac:dyDescent="0.25">
      <c r="A616" s="39" t="s">
        <v>302</v>
      </c>
      <c r="B616" s="39" t="s">
        <v>94</v>
      </c>
      <c r="C616" s="39" t="s">
        <v>95</v>
      </c>
      <c r="D616" s="48">
        <v>1035</v>
      </c>
      <c r="E616" s="43"/>
      <c r="F616" s="44">
        <f t="shared" si="124"/>
        <v>0.15</v>
      </c>
      <c r="G616" s="43"/>
      <c r="H616" s="45">
        <f t="shared" si="125"/>
        <v>135</v>
      </c>
      <c r="I616" s="43"/>
      <c r="J616" s="28">
        <v>900</v>
      </c>
      <c r="K616" s="43"/>
      <c r="L616" s="46">
        <f t="shared" si="126"/>
        <v>0</v>
      </c>
      <c r="M616" s="43"/>
      <c r="N616" s="45">
        <f t="shared" si="127"/>
        <v>0</v>
      </c>
      <c r="O616" s="43"/>
      <c r="P616" s="45">
        <v>900</v>
      </c>
      <c r="R616" s="43"/>
    </row>
    <row r="617" spans="1:18" s="39" customFormat="1" x14ac:dyDescent="0.25">
      <c r="A617" s="39" t="s">
        <v>302</v>
      </c>
      <c r="B617" s="39" t="s">
        <v>98</v>
      </c>
      <c r="C617" s="39" t="s">
        <v>99</v>
      </c>
      <c r="D617" s="48">
        <f>ROUNDUP((11907.1),0)</f>
        <v>11908</v>
      </c>
      <c r="E617" s="43"/>
      <c r="F617" s="44">
        <f t="shared" si="124"/>
        <v>0.15008692292833686</v>
      </c>
      <c r="G617" s="43"/>
      <c r="H617" s="45">
        <f t="shared" si="125"/>
        <v>1554</v>
      </c>
      <c r="I617" s="43"/>
      <c r="J617" s="28">
        <v>10354</v>
      </c>
      <c r="K617" s="43"/>
      <c r="L617" s="46">
        <f t="shared" si="126"/>
        <v>0</v>
      </c>
      <c r="M617" s="43"/>
      <c r="N617" s="45">
        <f t="shared" si="127"/>
        <v>0</v>
      </c>
      <c r="O617" s="43"/>
      <c r="P617" s="45">
        <v>10354</v>
      </c>
      <c r="R617" s="43"/>
    </row>
    <row r="618" spans="1:18" x14ac:dyDescent="0.25">
      <c r="A618" t="s">
        <v>302</v>
      </c>
      <c r="B618" t="s">
        <v>322</v>
      </c>
      <c r="C618" t="s">
        <v>323</v>
      </c>
      <c r="D618" s="47">
        <v>160200</v>
      </c>
      <c r="E618" s="2"/>
      <c r="F618" s="37">
        <f t="shared" si="124"/>
        <v>0</v>
      </c>
      <c r="G618" s="2"/>
      <c r="H618" s="12">
        <f t="shared" si="125"/>
        <v>0</v>
      </c>
      <c r="I618" s="2"/>
      <c r="J618" s="28">
        <v>160200</v>
      </c>
      <c r="K618" s="2"/>
      <c r="L618" s="13">
        <f t="shared" si="126"/>
        <v>0</v>
      </c>
      <c r="M618" s="2"/>
      <c r="N618" s="12">
        <f t="shared" si="127"/>
        <v>0</v>
      </c>
      <c r="O618" s="2"/>
      <c r="P618" s="12">
        <v>160200</v>
      </c>
      <c r="R618" s="2"/>
    </row>
    <row r="619" spans="1:18" x14ac:dyDescent="0.25">
      <c r="A619" t="s">
        <v>302</v>
      </c>
      <c r="B619" t="s">
        <v>324</v>
      </c>
      <c r="C619" t="s">
        <v>325</v>
      </c>
      <c r="D619" s="48">
        <v>2200</v>
      </c>
      <c r="E619" s="2"/>
      <c r="F619" s="37">
        <f t="shared" si="124"/>
        <v>0</v>
      </c>
      <c r="G619" s="2"/>
      <c r="H619" s="12">
        <f t="shared" si="125"/>
        <v>0</v>
      </c>
      <c r="I619" s="2"/>
      <c r="J619" s="28">
        <v>2200</v>
      </c>
      <c r="K619" s="2"/>
      <c r="L619" s="13">
        <f t="shared" si="126"/>
        <v>0</v>
      </c>
      <c r="M619" s="2"/>
      <c r="N619" s="12">
        <f t="shared" si="127"/>
        <v>0</v>
      </c>
      <c r="O619" s="2"/>
      <c r="P619" s="12">
        <v>2200</v>
      </c>
      <c r="R619" s="2"/>
    </row>
    <row r="620" spans="1:18" x14ac:dyDescent="0.25">
      <c r="A620" t="s">
        <v>302</v>
      </c>
      <c r="B620" t="s">
        <v>326</v>
      </c>
      <c r="C620" t="s">
        <v>327</v>
      </c>
      <c r="D620" s="47">
        <v>0</v>
      </c>
      <c r="E620" s="2"/>
      <c r="F620" s="37">
        <v>0</v>
      </c>
      <c r="G620" s="2"/>
      <c r="H620" s="12">
        <f t="shared" si="125"/>
        <v>0</v>
      </c>
      <c r="I620" s="2"/>
      <c r="J620" s="16">
        <v>0</v>
      </c>
      <c r="K620" s="2"/>
      <c r="L620" s="13">
        <f t="shared" si="126"/>
        <v>-1</v>
      </c>
      <c r="M620" s="2"/>
      <c r="N620" s="12">
        <f t="shared" si="127"/>
        <v>-37313</v>
      </c>
      <c r="O620" s="2"/>
      <c r="P620" s="12">
        <v>37313</v>
      </c>
      <c r="Q620" t="s">
        <v>393</v>
      </c>
      <c r="R620" s="2"/>
    </row>
    <row r="621" spans="1:18" x14ac:dyDescent="0.25">
      <c r="A621" t="s">
        <v>302</v>
      </c>
      <c r="B621" t="s">
        <v>328</v>
      </c>
      <c r="C621" t="s">
        <v>329</v>
      </c>
      <c r="D621" s="47">
        <v>17500</v>
      </c>
      <c r="E621" s="2"/>
      <c r="F621" s="37">
        <f t="shared" si="124"/>
        <v>0</v>
      </c>
      <c r="G621" s="2"/>
      <c r="H621" s="12">
        <f t="shared" si="125"/>
        <v>0</v>
      </c>
      <c r="I621" s="2"/>
      <c r="J621" s="16">
        <v>17500</v>
      </c>
      <c r="K621" s="2"/>
      <c r="L621" s="13">
        <f t="shared" si="126"/>
        <v>0</v>
      </c>
      <c r="M621" s="2"/>
      <c r="N621" s="12">
        <f t="shared" si="127"/>
        <v>0</v>
      </c>
      <c r="O621" s="2"/>
      <c r="P621" s="12">
        <v>17500</v>
      </c>
      <c r="R621" s="2"/>
    </row>
    <row r="622" spans="1:18" x14ac:dyDescent="0.25">
      <c r="A622" t="s">
        <v>302</v>
      </c>
      <c r="B622" t="s">
        <v>283</v>
      </c>
      <c r="C622" t="s">
        <v>330</v>
      </c>
      <c r="D622" s="47">
        <v>25000</v>
      </c>
      <c r="E622" s="2"/>
      <c r="F622" s="37">
        <f t="shared" si="124"/>
        <v>0</v>
      </c>
      <c r="G622" s="2"/>
      <c r="H622" s="12">
        <f t="shared" si="125"/>
        <v>0</v>
      </c>
      <c r="I622" s="2"/>
      <c r="J622" s="16">
        <v>25000</v>
      </c>
      <c r="K622" s="2"/>
      <c r="L622" s="13">
        <f t="shared" si="126"/>
        <v>0</v>
      </c>
      <c r="M622" s="2"/>
      <c r="N622" s="12">
        <f t="shared" si="127"/>
        <v>0</v>
      </c>
      <c r="O622" s="2"/>
      <c r="P622" s="12">
        <v>25000</v>
      </c>
      <c r="R622" s="2"/>
    </row>
    <row r="623" spans="1:18" x14ac:dyDescent="0.25">
      <c r="A623" t="s">
        <v>302</v>
      </c>
      <c r="B623" t="s">
        <v>286</v>
      </c>
      <c r="C623" t="s">
        <v>287</v>
      </c>
      <c r="D623" s="47">
        <f>ROUNDUP((17025.45),0)</f>
        <v>17026</v>
      </c>
      <c r="E623" s="2"/>
      <c r="F623" s="37">
        <f t="shared" si="124"/>
        <v>0</v>
      </c>
      <c r="G623" s="2"/>
      <c r="H623" s="12">
        <f t="shared" si="125"/>
        <v>0</v>
      </c>
      <c r="I623" s="2"/>
      <c r="J623" s="16">
        <f>ROUNDUP((17025.45),0)</f>
        <v>17026</v>
      </c>
      <c r="K623" s="2"/>
      <c r="L623" s="13">
        <f t="shared" si="126"/>
        <v>0</v>
      </c>
      <c r="M623" s="2"/>
      <c r="N623" s="12">
        <f t="shared" si="127"/>
        <v>0</v>
      </c>
      <c r="O623" s="2"/>
      <c r="P623" s="12">
        <v>17026</v>
      </c>
      <c r="R623" s="2"/>
    </row>
    <row r="624" spans="1:18" x14ac:dyDescent="0.25">
      <c r="A624" t="s">
        <v>302</v>
      </c>
      <c r="B624" t="s">
        <v>331</v>
      </c>
      <c r="C624" t="s">
        <v>332</v>
      </c>
      <c r="D624" s="47">
        <f>ROUNDUP((962.1),0)</f>
        <v>963</v>
      </c>
      <c r="E624" s="2"/>
      <c r="F624" s="37">
        <f t="shared" si="124"/>
        <v>0</v>
      </c>
      <c r="G624" s="2"/>
      <c r="H624" s="12">
        <f t="shared" si="125"/>
        <v>0</v>
      </c>
      <c r="I624" s="2"/>
      <c r="J624" s="16">
        <f>ROUNDUP((962.1),0)</f>
        <v>963</v>
      </c>
      <c r="K624" s="2"/>
      <c r="L624" s="13">
        <f t="shared" si="126"/>
        <v>-0.2660060975609756</v>
      </c>
      <c r="M624" s="2"/>
      <c r="N624" s="12">
        <f t="shared" si="127"/>
        <v>-349</v>
      </c>
      <c r="O624" s="2"/>
      <c r="P624" s="12">
        <v>1312</v>
      </c>
      <c r="R624" s="2"/>
    </row>
    <row r="625" spans="1:18" x14ac:dyDescent="0.25">
      <c r="A625" t="s">
        <v>302</v>
      </c>
      <c r="B625" t="s">
        <v>333</v>
      </c>
      <c r="C625" t="s">
        <v>334</v>
      </c>
      <c r="D625" s="47">
        <f>ROUNDUP((2188.43),0)</f>
        <v>2189</v>
      </c>
      <c r="E625" s="2"/>
      <c r="F625" s="37">
        <f t="shared" si="124"/>
        <v>0</v>
      </c>
      <c r="G625" s="2"/>
      <c r="H625" s="12">
        <f t="shared" si="125"/>
        <v>0</v>
      </c>
      <c r="I625" s="2"/>
      <c r="J625" s="16">
        <f>ROUNDUP((2188.43),0)</f>
        <v>2189</v>
      </c>
      <c r="K625" s="2"/>
      <c r="L625" s="13">
        <f t="shared" si="126"/>
        <v>-0.14625585023400936</v>
      </c>
      <c r="M625" s="2"/>
      <c r="N625" s="12">
        <f t="shared" si="127"/>
        <v>-375</v>
      </c>
      <c r="O625" s="2"/>
      <c r="P625" s="12">
        <v>2564</v>
      </c>
      <c r="R625" s="2"/>
    </row>
    <row r="626" spans="1:18" ht="120" x14ac:dyDescent="0.25">
      <c r="A626" s="1" t="s">
        <v>0</v>
      </c>
      <c r="B626" s="1" t="s">
        <v>1</v>
      </c>
      <c r="C626" s="1" t="s">
        <v>2</v>
      </c>
      <c r="D626" s="5" t="s">
        <v>337</v>
      </c>
      <c r="E626" s="1"/>
      <c r="F626" s="5" t="s">
        <v>409</v>
      </c>
      <c r="G626" s="1"/>
      <c r="H626" s="5" t="s">
        <v>410</v>
      </c>
      <c r="I626" s="1"/>
      <c r="J626" s="5" t="s">
        <v>336</v>
      </c>
      <c r="K626" s="1"/>
      <c r="L626" s="4" t="s">
        <v>344</v>
      </c>
      <c r="M626" s="1"/>
      <c r="N626" s="4" t="s">
        <v>342</v>
      </c>
      <c r="O626" s="1"/>
      <c r="P626" s="4" t="s">
        <v>335</v>
      </c>
      <c r="R626" s="1"/>
    </row>
    <row r="627" spans="1:18" x14ac:dyDescent="0.25">
      <c r="A627" t="s">
        <v>302</v>
      </c>
      <c r="B627" t="s">
        <v>294</v>
      </c>
      <c r="C627" t="s">
        <v>295</v>
      </c>
      <c r="D627" s="47">
        <f>ROUNDUP((5306.55),0)</f>
        <v>5307</v>
      </c>
      <c r="E627" s="2"/>
      <c r="F627" s="37">
        <f t="shared" si="124"/>
        <v>0</v>
      </c>
      <c r="G627" s="2"/>
      <c r="H627" s="12">
        <f t="shared" si="125"/>
        <v>0</v>
      </c>
      <c r="I627" s="2"/>
      <c r="J627" s="16">
        <f>ROUNDUP((5306.55),0)</f>
        <v>5307</v>
      </c>
      <c r="K627" s="2"/>
      <c r="L627" s="13">
        <f t="shared" si="126"/>
        <v>0</v>
      </c>
      <c r="M627" s="2"/>
      <c r="N627" s="12">
        <f t="shared" si="127"/>
        <v>0</v>
      </c>
      <c r="O627" s="2"/>
      <c r="P627" s="12">
        <v>5307</v>
      </c>
      <c r="R627" s="2"/>
    </row>
    <row r="628" spans="1:18" x14ac:dyDescent="0.25">
      <c r="D628" s="10"/>
      <c r="E628" s="2"/>
      <c r="F628" s="10"/>
      <c r="G628" s="2"/>
      <c r="H628" s="10"/>
      <c r="I628" s="2"/>
      <c r="J628" s="10"/>
      <c r="K628" s="2"/>
      <c r="L628" s="11"/>
      <c r="M628" s="2"/>
      <c r="N628" s="11"/>
      <c r="O628" s="2"/>
      <c r="P628" s="11"/>
      <c r="R628" s="2"/>
    </row>
    <row r="629" spans="1:18" x14ac:dyDescent="0.25">
      <c r="A629" t="s">
        <v>5</v>
      </c>
      <c r="B629" t="s">
        <v>5</v>
      </c>
      <c r="C629" s="1" t="s">
        <v>392</v>
      </c>
      <c r="D629" s="57">
        <f>SUM(D575:D627)</f>
        <v>1364490</v>
      </c>
      <c r="E629" s="2"/>
      <c r="F629" s="59">
        <f>H629/J629</f>
        <v>5.6986269535410652E-2</v>
      </c>
      <c r="G629" s="2"/>
      <c r="H629" s="57">
        <f>SUM(H575:H627)</f>
        <v>73565</v>
      </c>
      <c r="I629" s="2"/>
      <c r="J629" s="57">
        <f>SUM(J575:J627)</f>
        <v>1290925</v>
      </c>
      <c r="K629" s="2"/>
      <c r="L629" s="59">
        <f>N629/P629</f>
        <v>-5.100815107122484E-2</v>
      </c>
      <c r="M629" s="2"/>
      <c r="N629" s="57">
        <f>SUM(N575:N627)</f>
        <v>-69387</v>
      </c>
      <c r="O629" s="2"/>
      <c r="P629" s="57">
        <f>SUM(P575:P627)</f>
        <v>1360312</v>
      </c>
      <c r="R629" s="2"/>
    </row>
  </sheetData>
  <pageMargins left="0.7" right="0.7" top="0.75" bottom="0.75" header="0.3" footer="0.3"/>
  <pageSetup scale="51" fitToHeight="0" orientation="landscape" r:id="rId1"/>
  <rowBreaks count="1" manualBreakCount="1">
    <brk id="566" min="1" max="1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76202F-7321-4E14-98FA-573F138CA1D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FY24 Proposed Managerial</vt:lpstr>
      <vt:lpstr>FY24 Proposed Managerial print</vt:lpstr>
      <vt:lpstr>Com Center</vt:lpstr>
      <vt:lpstr>ACO</vt:lpstr>
      <vt:lpstr>Police</vt:lpstr>
      <vt:lpstr>FY24 Department Head Budget</vt:lpstr>
      <vt:lpstr>FY24 Depart Head Budget Print</vt:lpstr>
      <vt:lpstr>'FY24 Depart Head Budget Print'!Print_Area</vt:lpstr>
      <vt:lpstr>'FY24 Proposed Managerial'!Print_Area</vt:lpstr>
      <vt:lpstr>'FY24 Proposed Managerial print'!Print_Area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Tierney</dc:creator>
  <cp:lastModifiedBy>Samantha Bryant</cp:lastModifiedBy>
  <cp:lastPrinted>2023-03-12T15:14:59Z</cp:lastPrinted>
  <dcterms:created xsi:type="dcterms:W3CDTF">2023-02-09T21:57:22Z</dcterms:created>
  <dcterms:modified xsi:type="dcterms:W3CDTF">2023-06-27T16:17:14Z</dcterms:modified>
</cp:coreProperties>
</file>